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60" yWindow="0" windowWidth="19440" windowHeight="9080" tabRatio="352" activeTab="0"/>
  </bookViews>
  <sheets>
    <sheet name="NEPA EISs" sheetId="1" r:id="rId1"/>
    <sheet name="Key - Agencies" sheetId="2" r:id="rId2"/>
    <sheet name="Key - Impacts Analyzed" sheetId="3" r:id="rId3"/>
  </sheets>
  <definedNames/>
  <calcPr fullCalcOnLoad="1"/>
</workbook>
</file>

<file path=xl/sharedStrings.xml><?xml version="1.0" encoding="utf-8"?>
<sst xmlns="http://schemas.openxmlformats.org/spreadsheetml/2006/main" count="1847" uniqueCount="686">
  <si>
    <t>Southeastern Lincoln County Habitat Conservation Plan, Application Package for Three Incidental Take Permits, Authorize the Take of Desert Tortoise (Gopherus agassizii) and Southwestern Willow Flycatcher (Empidonax traillii extimus), Implementation, Lincoln County, NV</t>
  </si>
  <si>
    <t xml:space="preserve">This report quantitatively projects the reduction of GHG emissions in spite of increased vehicle miles traveled due to increased fuel efficiency. </t>
  </si>
  <si>
    <t xml:space="preserve">This proposal estimates emissions for peak vehicle and boat usage on the lake for the present and future under the RMP. It also lists the possible effects of climate change on the lake, including changed precipitation and runoff, demand for drinking water and agricultural needs, and aquatic ecosystems. </t>
  </si>
  <si>
    <t xml:space="preserve">This proposal's Final EIS corrects prior figures and calculations. The Draft EIS considers direct emissions from the increased decay of organic material due to inundation. It also lists emissions from electricity use for the different alternatives and quantifies emissions from operations during construction. Lastly, it discusses and addresses the possibility of change in precipitation, runoff, flooding, sea levels, etc. </t>
  </si>
  <si>
    <t>This proposal projects GHG emissions from purchased electricity for operations but does not compare this to abated emissions.</t>
  </si>
  <si>
    <t xml:space="preserve">This report examines in depth the likely impact of climate change on the project, finding that rising sea levels will reduce the need for maintenance dredging. </t>
  </si>
  <si>
    <t xml:space="preserve">This report discusses ways that climate change will probably affect the area and the water supply project. </t>
  </si>
  <si>
    <t>This report considered worst case induced vehicle trips (for maintenance and inspection) as well as purchased electricity for normal operation of the different sites and under the different project alternatives proposed.</t>
  </si>
  <si>
    <t>This report discusses the impact of rising temperatures and ocean acidity due to climate change on the managed sea life populations.</t>
  </si>
  <si>
    <t>This report discusses the likely impacts of climate change on the vegetation treatments, detailing the ways it will make reforestation more difficult.</t>
  </si>
  <si>
    <t>EXF Thinning, Fuel Reduction, and Research Project, Proposal for Vegetation Management and Fuel Reduction within the Lookout Mountain Unit of the Pringle Falls Experimental Forest, Bend/Ft. Rock Ranger District, Deschutes National Forest, Deschutes County, OR</t>
  </si>
  <si>
    <t>This report discusses some of the changes in species' distribution expected from climate change and rejects the hypothesis that forest thinning will release more GHGs than it will save by avoiding fire.</t>
  </si>
  <si>
    <t xml:space="preserve">This report discusses the impact of climate change on the habitat protection project, including likely replacement of existing forests with those better suited for warmer climates, increased length of the fire season, and the number of acres burned. </t>
  </si>
  <si>
    <t>This report briefly quantifies the total GHG emissions predicted under each alternative's Air Quality section.</t>
  </si>
  <si>
    <t xml:space="preserve">This report estimates GHG emissions from the proposed petroleum refinery based on readily available data from Canadian refineries. It also briefly considers the impacts of climate change on the surrounding environment. </t>
  </si>
  <si>
    <t xml:space="preserve">This proposal explores the potential effects of climate change on the project. Increased frequency and severity of flooding is expected to amplify runoff, which will threaten trails. </t>
  </si>
  <si>
    <t>This proposal's Draft EIS lists GHG emissions from construction and induced vehicle trips predicted for each alternative. The Final EIS corrects the list of vehicle emissions.</t>
  </si>
  <si>
    <r>
      <t>This report summarizes CO</t>
    </r>
    <r>
      <rPr>
        <sz val="8"/>
        <color indexed="8"/>
        <rFont val="Arial"/>
        <family val="2"/>
      </rPr>
      <t>2</t>
    </r>
    <r>
      <rPr>
        <sz val="10"/>
        <color indexed="8"/>
        <rFont val="Arial"/>
        <family val="2"/>
      </rPr>
      <t xml:space="preserve"> emissions projected from mobile equipment exhaust and other construction activity calculated in detail in its appendix.</t>
    </r>
  </si>
  <si>
    <t>This report follows another EIS's methodology to determine indirect emissions expected from the project's bridge construction.</t>
  </si>
  <si>
    <t>This report estimates the annual GHG emissions projected from mobile equipment exhaust during construction.</t>
  </si>
  <si>
    <t xml:space="preserve">This proposal calculates the expected vehicle miles traveled for each of the alternatives. </t>
  </si>
  <si>
    <t>This report quantifies GHG emissions expected from normal operation and construction. It also briefly claims to be the first pipeline in the US planned to have carbon neutral construction and operation according to LEED standards.</t>
  </si>
  <si>
    <t>This proposal projects emissions of different GHGs for the pipelines' construction and operation, during periodic blowdown events allowing repairs at compressor station sites.</t>
  </si>
  <si>
    <t xml:space="preserve">This proposal briefly mentions projected GHG emissions from construction and operation. </t>
  </si>
  <si>
    <t xml:space="preserve">This report lists in detail the GHG emissions expected from construction of the terminal, compressor station, and pipeline, as well as their operation. </t>
  </si>
  <si>
    <r>
      <t>This report briefly mentions the quantity of CO</t>
    </r>
    <r>
      <rPr>
        <sz val="8"/>
        <color indexed="8"/>
        <rFont val="Arial"/>
        <family val="2"/>
      </rPr>
      <t>2</t>
    </r>
    <r>
      <rPr>
        <sz val="10"/>
        <color indexed="8"/>
        <rFont val="Arial"/>
        <family val="2"/>
      </rPr>
      <t xml:space="preserve"> emissions that will likely be avoided through the high-capacity transit project compared to fossil fuel-powered vehicles.</t>
    </r>
  </si>
  <si>
    <t>This report mentions climate change's likely effects on pelagic fish and sea turtle populations, as well as non-target species.</t>
  </si>
  <si>
    <t xml:space="preserve">This report cites numerous studies to document the expected impact of climate change on native species within the project's area. </t>
  </si>
  <si>
    <t xml:space="preserve">This report discusses the anticipated impact of rising temperatures from global warming on sea turtles and fisheries within the project area. </t>
  </si>
  <si>
    <t xml:space="preserve">This report discusses the effects climate change will likely have on the distribution of plant species, frequency of insect infestations, and prevalence of wildfires. </t>
  </si>
  <si>
    <t>This proposal briefly estimates increased emissions from purchased electricity.</t>
  </si>
  <si>
    <t>Description</t>
  </si>
  <si>
    <t>Buildings and
real estate</t>
  </si>
  <si>
    <t>This report includes an extensive qualitative consideration of the project's forests' function as a carbon sink.</t>
  </si>
  <si>
    <r>
      <t>This report lists CO</t>
    </r>
    <r>
      <rPr>
        <sz val="8"/>
        <color indexed="8"/>
        <rFont val="Arial"/>
        <family val="2"/>
      </rPr>
      <t>2</t>
    </r>
    <r>
      <rPr>
        <sz val="10"/>
        <color indexed="8"/>
        <rFont val="Arial"/>
        <family val="2"/>
      </rPr>
      <t>, NH</t>
    </r>
    <r>
      <rPr>
        <sz val="8"/>
        <color indexed="8"/>
        <rFont val="Arial"/>
        <family val="2"/>
      </rPr>
      <t>4</t>
    </r>
    <r>
      <rPr>
        <sz val="10"/>
        <color indexed="8"/>
        <rFont val="Arial"/>
        <family val="2"/>
      </rPr>
      <t>, N</t>
    </r>
    <r>
      <rPr>
        <sz val="8"/>
        <color indexed="8"/>
        <rFont val="Arial"/>
        <family val="2"/>
      </rPr>
      <t>2</t>
    </r>
    <r>
      <rPr>
        <sz val="10"/>
        <color indexed="8"/>
        <rFont val="Arial"/>
        <family val="2"/>
      </rPr>
      <t>O, and total CO</t>
    </r>
    <r>
      <rPr>
        <sz val="8"/>
        <color indexed="8"/>
        <rFont val="Arial"/>
        <family val="2"/>
      </rPr>
      <t>2</t>
    </r>
    <r>
      <rPr>
        <sz val="10"/>
        <color indexed="8"/>
        <rFont val="Arial"/>
        <family val="2"/>
      </rPr>
      <t>e emissions projections for each alternative from induced ship and aircraft travel.</t>
    </r>
  </si>
  <si>
    <t xml:space="preserve">This report calculates expected emissions from building and vehicle usage for each alternative. </t>
  </si>
  <si>
    <t xml:space="preserve">This report calculates the GHG emissions that will likely result from expanded construction and operation of the mine by source, including fuel consumption (from vehicles and machinery) and electricity consumption (from machinery, milling, and dewatering). </t>
  </si>
  <si>
    <t>This proposal lists the types of fish likely to be affected by climate change, then it calculates GHG emissions from induced vehicle usage and direct electricity consumption.</t>
  </si>
  <si>
    <t xml:space="preserve">This proposal documents the expected effects of climate change on species and ecosystems within the Western Pacific Region. </t>
  </si>
  <si>
    <t>This report calculates expected GHG emissions for all project-related sources (Scopes 1, 2, and 3) in great detail.</t>
  </si>
  <si>
    <t>This proposal cites another report's detailed description of climate change's potential impact on Ohio's roadways, the subject of the project.</t>
  </si>
  <si>
    <t xml:space="preserve">This report briefly estimates the growth in GHG emissions expected under the growth alternative from construction and operation of the transportation project.  </t>
  </si>
  <si>
    <r>
      <t>This report briefly states the expected annual CO</t>
    </r>
    <r>
      <rPr>
        <sz val="8"/>
        <color indexed="8"/>
        <rFont val="Arial"/>
        <family val="2"/>
      </rPr>
      <t>2</t>
    </r>
    <r>
      <rPr>
        <sz val="10"/>
        <color indexed="8"/>
        <rFont val="Arial"/>
        <family val="2"/>
      </rPr>
      <t>e emissions and later attributes the emissions to normal operation and construction.</t>
    </r>
  </si>
  <si>
    <t>This report estimates the GHG emissions expected from refinery operations various ways, including basing estimates on similar refineries and emissions rates of similar projects. It also lists GHG emissions from fossil-fueled construction equipment.</t>
  </si>
  <si>
    <r>
      <t>This proposal's Final EIS estimates emissions in terms of CO</t>
    </r>
    <r>
      <rPr>
        <sz val="9"/>
        <color indexed="8"/>
        <rFont val="Arial"/>
        <family val="2"/>
      </rPr>
      <t>2</t>
    </r>
    <r>
      <rPr>
        <sz val="10"/>
        <color indexed="8"/>
        <rFont val="Arial"/>
        <family val="2"/>
      </rPr>
      <t xml:space="preserve"> equivalents and compares the combined cycle turbine's emissions to those from a traditional subcritical pulverized coal boiler. The Draft EIS estimates annual GHG emissions from normal operation of the 300-MW power plant, broken down for the plant's emitting components (combustion turbine, HRSG and duct burner, heater, diesel generator, and diesel fire pump). It also discusses projected effects of climate change on the region. </t>
    </r>
  </si>
  <si>
    <t>This proposal projects GHG emissions from operations generating electricity, induced vehicle trips providing feedstock, and some analysis of construction impact. It also evaluates the impacts from carbon capture and sequestration scenarios.</t>
  </si>
  <si>
    <r>
      <t>This report briefly mentions the quantities of CO</t>
    </r>
    <r>
      <rPr>
        <sz val="8"/>
        <color indexed="8"/>
        <rFont val="Arial"/>
        <family val="2"/>
      </rPr>
      <t>2</t>
    </r>
    <r>
      <rPr>
        <sz val="10"/>
        <color indexed="8"/>
        <rFont val="Arial"/>
        <family val="2"/>
      </rPr>
      <t xml:space="preserve"> emissions expected for the coal-fired alternative and the natural-gas-fired alternative to the nuclear power plant. </t>
    </r>
  </si>
  <si>
    <t xml:space="preserve">This report projects the GHG emissions from the existing diesel-fueled generator to be saved once the proposed hydroelectric generator is online. </t>
  </si>
  <si>
    <r>
      <t>This report briefly mentions the quantity of CO</t>
    </r>
    <r>
      <rPr>
        <sz val="8"/>
        <color indexed="8"/>
        <rFont val="Arial"/>
        <family val="2"/>
      </rPr>
      <t>2</t>
    </r>
    <r>
      <rPr>
        <sz val="10"/>
        <color indexed="8"/>
        <rFont val="Arial"/>
        <family val="2"/>
      </rPr>
      <t xml:space="preserve"> emissions that will be avoided through the wind energy project compared to fossil fuel-powered plants.</t>
    </r>
  </si>
  <si>
    <t>This proposal qualitatively considers the impact of climate change on public travel in the project (no expected impact) and the impact of the travel management plan on the area's GHG emissions (lowering them).</t>
  </si>
  <si>
    <t xml:space="preserve">This report discusses in general terms some of project's components that will release or sequester GHGs. It also documents the forecasted impact of climate change on the project's vegetation and resources. </t>
  </si>
  <si>
    <t xml:space="preserve">This report explores the effects of climate change on the project. Increased frequency and severity of flooding is expected to amplify runoff, which will threaten trails. </t>
  </si>
  <si>
    <t xml:space="preserve">This report discuses the impact of climate change on the incidence of wildfires and changes in plant communities' species. </t>
  </si>
  <si>
    <t xml:space="preserve">This report evaluates the aqueduct intertie's and alternatives' construction and operation emissions. </t>
  </si>
  <si>
    <t>This report projects GHG emissions from the removal of existing vegetation, construction of bridges and other structures, indirect allowance of "build-out" of residential and commercial buildings, vehicle trips for construction workers and future residents, municipal operations, a golf course's operations, recreation centers' operations, as well as additional carbon sequestration from new trees and shrubbery planted during build-out and mitigation proposals.</t>
  </si>
  <si>
    <t xml:space="preserve">This proposal's Final EIS corrects earlier tables. The Draft EIS considers the GHG emissions from purchased electricity, induced vehicle and boat trips, and construction of the port in depth for the different alternatives and mitigation options. It also considers the impact of sea level rise from projected climate change on the ability of the port to withstand severe storms. </t>
  </si>
  <si>
    <r>
      <t>This report lists the project's expected emissions of CO</t>
    </r>
    <r>
      <rPr>
        <sz val="8"/>
        <color indexed="8"/>
        <rFont val="Arial"/>
        <family val="2"/>
      </rPr>
      <t>2</t>
    </r>
    <r>
      <rPr>
        <sz val="10"/>
        <color indexed="8"/>
        <rFont val="Arial"/>
        <family val="2"/>
      </rPr>
      <t>, CH</t>
    </r>
    <r>
      <rPr>
        <sz val="8"/>
        <color indexed="8"/>
        <rFont val="Arial"/>
        <family val="2"/>
      </rPr>
      <t>4</t>
    </r>
    <r>
      <rPr>
        <sz val="10"/>
        <color indexed="8"/>
        <rFont val="Arial"/>
        <family val="2"/>
      </rPr>
      <t>, and N</t>
    </r>
    <r>
      <rPr>
        <sz val="8"/>
        <color indexed="8"/>
        <rFont val="Arial"/>
        <family val="2"/>
      </rPr>
      <t>2</t>
    </r>
    <r>
      <rPr>
        <sz val="10"/>
        <color indexed="8"/>
        <rFont val="Arial"/>
        <family val="2"/>
      </rPr>
      <t xml:space="preserve">O from building and vehicle energy use. </t>
    </r>
  </si>
  <si>
    <t xml:space="preserve">This report lists total GHG emissions expected from fuel use, electricity consumption, and mining operations from the proposed coal mines. </t>
  </si>
  <si>
    <t>This report briefly mentions the combined quantities of GHG emissions from "onsite hauling, offsite hauling by truck and rail, and quarry equipment."</t>
  </si>
  <si>
    <t xml:space="preserve">This proposal features very precise consideration of the project's miniscule emissions from chemical treatment and vehicle and generator exhaust. </t>
  </si>
  <si>
    <t xml:space="preserve">This proposal discusses the impacts of climate change on various animals and their habitats and water resources. </t>
  </si>
  <si>
    <t>This report documents the existing and projected effects of climate change on wildlife and parasites within the project area.</t>
  </si>
  <si>
    <t xml:space="preserve">This report estimates the GHG emissions from the launch and reentry of suborbital rockets at different atmospheric levels. </t>
  </si>
  <si>
    <t>This proposal estimates total GHG emissions resulting from the change in vehicle miles traveled for each of the alternatives. The preferred alternative is projected to reduce emissions.</t>
  </si>
  <si>
    <t xml:space="preserve">This proposal briefly estimates GHG emissions from operations and construction as well as the impact of climate change on rail maintenance. </t>
  </si>
  <si>
    <t>This proposal projects CO2 emissions for direct vehicle emissions and power generation for electric rail operation.</t>
  </si>
  <si>
    <t>This proposal summarizes climate change's expected impacts on the area based on other reports' projections, including changes in precipitation, runoff, water demand, aquatic ecosystems, and the risk of wildfires.</t>
  </si>
  <si>
    <t xml:space="preserve">This report lists the GHG emissions that will result from construction and operation of the expanded port by source, including additional ship traffic, induced train and truck travel, rail yard and terminal equipment, reefer refrigerant losses, on-terminal electricity use, and worker trips. </t>
  </si>
  <si>
    <t>This proposal has an extremely detailed quantitative assessment of the CO2 concentration, sea level, etc. effects of fuel efficiency standard alternatives.</t>
  </si>
  <si>
    <t>The proposal seeks to station a new fleet of MV-22 Osprey tilt-rotor aircraft. It lists emissions from operations of the new fleet as well as the current fleet's operations.</t>
  </si>
  <si>
    <t xml:space="preserve">This report features a short, qualitative discussion of the likely sources of GHG emissions in its proposed alternatives. </t>
  </si>
  <si>
    <t xml:space="preserve">This report contains a general qualitative description of climate change's impact on invasive plant species and discussion of grazed lands' GHG emissions and absorptions. </t>
  </si>
  <si>
    <t xml:space="preserve">This proposal calculates embodied emissions, energy emissions, transportation emissions, and lifespan emissions for the proposed alternatives. </t>
  </si>
  <si>
    <r>
      <t>This report briefly calculates the annual CO</t>
    </r>
    <r>
      <rPr>
        <sz val="8"/>
        <color indexed="8"/>
        <rFont val="Arial"/>
        <family val="2"/>
      </rPr>
      <t>2</t>
    </r>
    <r>
      <rPr>
        <sz val="10"/>
        <color indexed="8"/>
        <rFont val="Arial"/>
        <family val="2"/>
      </rPr>
      <t xml:space="preserve"> emissions projected from the project's energy use. </t>
    </r>
  </si>
  <si>
    <t>This proposal estimates morning and evening peak roadway emissions under the No Build Alternative and the Build Alternative.</t>
  </si>
  <si>
    <r>
      <t>This proposal's Final EIS corrects earlier figures to detail daily CO</t>
    </r>
    <r>
      <rPr>
        <sz val="8"/>
        <color indexed="8"/>
        <rFont val="Arial"/>
        <family val="2"/>
      </rPr>
      <t>2</t>
    </r>
    <r>
      <rPr>
        <sz val="10"/>
        <color indexed="8"/>
        <rFont val="Arial"/>
        <family val="2"/>
      </rPr>
      <t xml:space="preserve"> emissions for each alternative in 2040. The Draft EIS conservatively forecasts the parkway's future CO</t>
    </r>
    <r>
      <rPr>
        <sz val="8"/>
        <color indexed="8"/>
        <rFont val="Arial"/>
        <family val="2"/>
      </rPr>
      <t>2</t>
    </r>
    <r>
      <rPr>
        <sz val="10"/>
        <color indexed="8"/>
        <rFont val="Arial"/>
        <family val="2"/>
      </rPr>
      <t xml:space="preserve"> emissions.</t>
    </r>
  </si>
  <si>
    <r>
      <t>This report claims to have the first comprehensive carbon equivalent emissions analysis for an Army installation's operations. It lists CO</t>
    </r>
    <r>
      <rPr>
        <sz val="8"/>
        <color indexed="8"/>
        <rFont val="Arial"/>
        <family val="2"/>
      </rPr>
      <t>2</t>
    </r>
    <r>
      <rPr>
        <sz val="10"/>
        <color indexed="8"/>
        <rFont val="Arial"/>
        <family val="2"/>
      </rPr>
      <t>e emissions by source, including external combustion units, internal combustion units, munitions, refrigerants, and electricity production.</t>
    </r>
  </si>
  <si>
    <t>This proposal briefly estimates GHG emissions from operation of the mine and mentions the role of transportation to the mine.</t>
  </si>
  <si>
    <t xml:space="preserve">This proposal provides annual emissions from fuel consumption (from vehicles and machinery) and electricity use (from mining and ore processing operations). </t>
  </si>
  <si>
    <t>This proposal calculates the GHG emissions from electricity used during normal operation.</t>
  </si>
  <si>
    <t xml:space="preserve">This report briefly quantifies the project's GHG emissions as a percent of annual US emissions and mentions the effects of climate change on the affected area in passing. </t>
  </si>
  <si>
    <t xml:space="preserve">This report mentions the GHG emissions expected to be released under each alternative. </t>
  </si>
  <si>
    <t>United States Navy</t>
  </si>
  <si>
    <t>U.S. Army Corps of Engineers</t>
  </si>
  <si>
    <t>United States Air Force</t>
  </si>
  <si>
    <t>United States Coast Guard</t>
  </si>
  <si>
    <t>U.S. Forest Service</t>
  </si>
  <si>
    <t>U.S. Fish and Wildlife Service</t>
  </si>
  <si>
    <t>United States Marine Corps</t>
  </si>
  <si>
    <t>United States Postal Service</t>
  </si>
  <si>
    <t>Bureau of Reclamation</t>
  </si>
  <si>
    <t>NIGC</t>
  </si>
  <si>
    <t>National Indian Gaming Commission</t>
  </si>
  <si>
    <t>Code</t>
  </si>
  <si>
    <t>Fishery management</t>
  </si>
  <si>
    <t>Miscellaneous</t>
  </si>
  <si>
    <t>Title</t>
  </si>
  <si>
    <t>Impacts Analyzed</t>
  </si>
  <si>
    <t xml:space="preserve">This report discusses some of the probable climate change impacts on the Refuges, including reduced summer riparian flows, longer fire seasons, and altered species composition. </t>
  </si>
  <si>
    <t>This appendix section enumerates GHG emissions in detail for all components of the project. The main body of the report only refers to climate change in general terms.</t>
  </si>
  <si>
    <t>This report discusses some of the impacts climate change may have on the target fish populations.</t>
  </si>
  <si>
    <t xml:space="preserve">This proposal discusses the potential impact climate change will have on the invasive plant species studied. </t>
  </si>
  <si>
    <t>This proposal explores the relationship between climate change and invasive species, the risk of wildfire, and insect outbreaks. It also considers the potential for vegetation management to increase carbon storage.</t>
  </si>
  <si>
    <t xml:space="preserve">This report projects carbon sequestration after 50, 100, and 150 years for the proposed alternatives. It also considers the effect of changing precipitation due to climate change on the project's seedling survival. </t>
  </si>
  <si>
    <t>This report considers the way different climate change scenarios may affect the vegetation management project.</t>
  </si>
  <si>
    <r>
      <t>This report lists the CO</t>
    </r>
    <r>
      <rPr>
        <sz val="9"/>
        <color indexed="8"/>
        <rFont val="Arial"/>
        <family val="2"/>
      </rPr>
      <t>2</t>
    </r>
    <r>
      <rPr>
        <sz val="10"/>
        <color indexed="8"/>
        <rFont val="Arial"/>
        <family val="2"/>
      </rPr>
      <t xml:space="preserve"> and NH</t>
    </r>
    <r>
      <rPr>
        <sz val="9"/>
        <color indexed="8"/>
        <rFont val="Arial"/>
        <family val="2"/>
      </rPr>
      <t>4</t>
    </r>
    <r>
      <rPr>
        <sz val="10"/>
        <color indexed="8"/>
        <rFont val="Arial"/>
        <family val="2"/>
      </rPr>
      <t xml:space="preserve"> emissions expected from each of the forest thinning alternatives.</t>
    </r>
  </si>
  <si>
    <t>This report discusses some of the changes in forest composition and the range of species due to climate change.</t>
  </si>
  <si>
    <t>Addt'l EIS (pgs.)</t>
  </si>
  <si>
    <t>X</t>
  </si>
  <si>
    <t xml:space="preserve">This proposal provides a general qualitative description of climate change's impact on invasive plant species and a discussion of grazed lands' GHG emissions and absorptions. </t>
  </si>
  <si>
    <t>This report considers the impact of climate change on the target grass species.</t>
  </si>
  <si>
    <t>Gemmill Thin Project, Proposal to Reduce the Intensity and Size of Future Wildfires, and to Maintain/Improve Ecosystem Function and Wildlife Habitat, Chanchellula Late-Successional Reserve, Shasta-Trinity National Forest, Trinity County, CA</t>
  </si>
  <si>
    <t xml:space="preserve">This report qualitatively considers a few climate change impacts on the refuge, including establishment of an active fire regime and colonization of invasive plant species. </t>
  </si>
  <si>
    <t>This report compares in general terms the differences in heating, induced vehicle trips, and construction requirements of the different alternatives with regards to GHG emissions. It also notes that the effects of climate change will necessitate increased maintenance of the project's facilities.</t>
  </si>
  <si>
    <t xml:space="preserve">This report lists the GHG emissions that will result from expansion of the campus by source, including direct GHG emissions, operational (mobile) sources, area/stationary sources, electrical generation, water supply, wastewater treatment, and solid waste emissions. </t>
  </si>
  <si>
    <r>
      <t>This proposal details direct emissions from power plant operations at full capacity with various levels of CO</t>
    </r>
    <r>
      <rPr>
        <sz val="8"/>
        <color indexed="8"/>
        <rFont val="Arial"/>
        <family val="2"/>
      </rPr>
      <t>2</t>
    </r>
    <r>
      <rPr>
        <sz val="10"/>
        <color indexed="8"/>
        <rFont val="Arial"/>
        <family val="2"/>
      </rPr>
      <t xml:space="preserve"> capture, incidental emissions from support, maintenance, and lignite mining, and emissions from construction. It also calculates lost carbon sequestration from land use changes from mining operations. </t>
    </r>
  </si>
  <si>
    <t xml:space="preserve">This report provides the combined annual GHG emissions expected from electricity generation, coal mining, and rail transportation. </t>
  </si>
  <si>
    <t>This proposal estimates GHG emissions from normal power plant operations and the impact of climate change on water temperature, which would adversely affect operation of the BLN generating unit.</t>
  </si>
  <si>
    <t>Federal Aviation Administration</t>
  </si>
  <si>
    <t>Federal Energy Regulatory Commission</t>
  </si>
  <si>
    <t>Federal Highway Administration</t>
  </si>
  <si>
    <t>Federal Railroad Administration</t>
  </si>
  <si>
    <t>Farm Service Agency</t>
  </si>
  <si>
    <t>Federal Transit Administration</t>
  </si>
  <si>
    <t>General Services Administration</t>
  </si>
  <si>
    <t>International Boundary and Water Commission</t>
  </si>
  <si>
    <t>Minerals Management Service</t>
  </si>
  <si>
    <t>National Highway Traffic Safety Administration</t>
  </si>
  <si>
    <t>National Institutes of Health</t>
  </si>
  <si>
    <t>National Oceanic and Atmospheric Administration</t>
  </si>
  <si>
    <t>National Park Service</t>
  </si>
  <si>
    <t>Nuclear Regulatory Commission</t>
  </si>
  <si>
    <t>Natural Resources Conservation Service</t>
  </si>
  <si>
    <t>National Security Agency</t>
  </si>
  <si>
    <t>National Science Foundation</t>
  </si>
  <si>
    <t>Surface Transportation Board</t>
  </si>
  <si>
    <t>Tennessee Valley Authority</t>
  </si>
  <si>
    <t>United States Army</t>
  </si>
  <si>
    <r>
      <t xml:space="preserve">Source: </t>
    </r>
    <r>
      <rPr>
        <sz val="11"/>
        <color theme="1"/>
        <rFont val="Calibri"/>
        <family val="2"/>
      </rPr>
      <t xml:space="preserve">Michael Gerrard, </t>
    </r>
    <r>
      <rPr>
        <i/>
        <sz val="11"/>
        <color indexed="8"/>
        <rFont val="Calibri"/>
        <family val="2"/>
      </rPr>
      <t>SEQRA and Climate Change</t>
    </r>
    <r>
      <rPr>
        <sz val="11"/>
        <color theme="1"/>
        <rFont val="Calibri"/>
        <family val="2"/>
      </rPr>
      <t>, NYSBA Government, Law and Policy Journal (Summer 2008)</t>
    </r>
  </si>
  <si>
    <r>
      <rPr>
        <b/>
        <u val="single"/>
        <sz val="10"/>
        <color indexed="8"/>
        <rFont val="Arial"/>
        <family val="2"/>
      </rPr>
      <t>Impact of climate change on project</t>
    </r>
    <r>
      <rPr>
        <sz val="10"/>
        <color indexed="8"/>
        <rFont val="Arial"/>
        <family val="2"/>
      </rPr>
      <t>. Among the topics here could be the effects of rising sea levels and water tables, increased flooding, greater temperature variations, water shortages, reduced snowpack, and activities needed to adapt to climate changes.</t>
    </r>
  </si>
  <si>
    <r>
      <rPr>
        <b/>
        <u val="single"/>
        <sz val="10"/>
        <color indexed="8"/>
        <rFont val="Arial"/>
        <family val="2"/>
      </rPr>
      <t>Construction impacts</t>
    </r>
    <r>
      <rPr>
        <sz val="10"/>
        <color indexed="8"/>
        <rFont val="Arial"/>
        <family val="2"/>
      </rPr>
      <t>. The GHG emissions from extracting and fabricating the construction materials, and from the equipment at and servicing the construction site.</t>
    </r>
  </si>
  <si>
    <r>
      <rPr>
        <b/>
        <u val="single"/>
        <sz val="10"/>
        <color indexed="8"/>
        <rFont val="Arial"/>
        <family val="2"/>
      </rPr>
      <t>Induced trips</t>
    </r>
    <r>
      <rPr>
        <sz val="10"/>
        <color indexed="8"/>
        <rFont val="Arial"/>
        <family val="2"/>
      </rPr>
      <t>. Employee, customer, and vendor travel; the transport of raw materials, manufactured goods, and other freight to and from the facility.</t>
    </r>
  </si>
  <si>
    <r>
      <rPr>
        <b/>
        <u val="single"/>
        <sz val="10"/>
        <color indexed="8"/>
        <rFont val="Arial"/>
        <family val="2"/>
      </rPr>
      <t>Purchased electricity</t>
    </r>
    <r>
      <rPr>
        <sz val="10"/>
        <color indexed="8"/>
        <rFont val="Arial"/>
        <family val="2"/>
      </rPr>
      <t xml:space="preserve">. The GHGs emitted in generating the electricity that is produced off-site and purchased by the facility. </t>
    </r>
  </si>
  <si>
    <r>
      <rPr>
        <b/>
        <u val="single"/>
        <sz val="10"/>
        <color indexed="8"/>
        <rFont val="Arial"/>
        <family val="2"/>
      </rPr>
      <t>Direct operational impacts</t>
    </r>
    <r>
      <rPr>
        <sz val="10"/>
        <color indexed="8"/>
        <rFont val="Arial"/>
        <family val="2"/>
      </rPr>
      <t>. Smokestack emissions from the facility; fugitive emissions such as methane escaping from oil and gas wells; emissions of methane and nitrous oxide from agricultural operations; methane from landfills and wastewater treatment plants; and impacts on carbon "sinks," such as forests, agricultural soils, and wetlands.</t>
    </r>
  </si>
  <si>
    <t>Abbrv.</t>
  </si>
  <si>
    <t>Draft EIS (pgs.)</t>
  </si>
  <si>
    <t>Commencement Bay "Reauthorization" of Dredged Material Management Program Disposal Site, Implementation, Central Puget Sound, Tacoma, WA</t>
  </si>
  <si>
    <t>GSA</t>
  </si>
  <si>
    <t>OH</t>
  </si>
  <si>
    <t>NSF</t>
  </si>
  <si>
    <t>Miller West Fisher Project, Proposes Land Management Activities, including Timber Harvest, Access Management, Road Storage and Decommissioning, Prescribed Burning and Precommercial Thinning, Miller Creek, West Fisher Creek and the Silver Butte Fisher River, Libby Ranger District, Kootenai National Forest, Lincoln County, MT</t>
  </si>
  <si>
    <t>Big Stone II Power Plant and Transmission Project, Addresses the Impacts of Changes to the Proposed Action relative to Cooling Alternatives and the Use of Groundwater as Backup Water Source, US Army COE Section 10 and 404 Permits, Grant County, SD and Big Stone County, MN</t>
  </si>
  <si>
    <t>Camp Four Vegetation Project, Proposes Vegetation and Road Management Activities, Desired Future Condition (DFC), Medford-Park Falls Ranger District, Chequamegon-Nicolet National Forest, Price County, WI</t>
  </si>
  <si>
    <t>DOS</t>
  </si>
  <si>
    <t>FL</t>
  </si>
  <si>
    <t>Port of Los Angeles Channel Deepening Project, To Dispose of Approximately 3.0 Million Cubic Yards of Dredge Material Required to Complete the Channel Deepening Project and to Beneficially Reuse the Dredge Material with the Port of Los Angeles, Los Angeles County, CA</t>
  </si>
  <si>
    <t>Amendment 18 to the Fishery Management Plan, Pelagic Fisheries of the Western Pacific Region, Management Modifications for the Hawaii-based Shallow-set Longline Swordfish Fishery, Proposal to Remove Effort Limits, Eliminate the Set Certificate Program and Implement New Sea Turtle Interaction Caps</t>
  </si>
  <si>
    <t>USAF</t>
  </si>
  <si>
    <t>NSA</t>
  </si>
  <si>
    <t>MMS</t>
  </si>
  <si>
    <t>USPS</t>
  </si>
  <si>
    <t>Electric generating -- renewable</t>
  </si>
  <si>
    <t>Agriculture</t>
  </si>
  <si>
    <t>Electric generating -- nuclear</t>
  </si>
  <si>
    <t>Oil and gas development</t>
  </si>
  <si>
    <t>Agency Name</t>
  </si>
  <si>
    <t>Bureau of Indian Affairs</t>
  </si>
  <si>
    <t>Bureau of Land Management</t>
  </si>
  <si>
    <t>Federal Bureau of Prisons</t>
  </si>
  <si>
    <t>Bonneville Power Administration</t>
  </si>
  <si>
    <t>Department of Energy</t>
  </si>
  <si>
    <t>Department of State</t>
  </si>
  <si>
    <t>Department of Transportation</t>
  </si>
  <si>
    <t>Environmental Protection Agency</t>
  </si>
  <si>
    <t>AZ</t>
  </si>
  <si>
    <t>State</t>
  </si>
  <si>
    <t>CA</t>
  </si>
  <si>
    <t>USFS</t>
  </si>
  <si>
    <t>Multi</t>
  </si>
  <si>
    <t>DOE</t>
  </si>
  <si>
    <t>MS</t>
  </si>
  <si>
    <t>WY</t>
  </si>
  <si>
    <t>CO</t>
  </si>
  <si>
    <t>OR</t>
  </si>
  <si>
    <t>UT</t>
  </si>
  <si>
    <t>NV</t>
  </si>
  <si>
    <t>WA</t>
  </si>
  <si>
    <t>FHWA</t>
  </si>
  <si>
    <t>US Navy</t>
  </si>
  <si>
    <t>Guam</t>
  </si>
  <si>
    <t>MT</t>
  </si>
  <si>
    <t>BLM</t>
  </si>
  <si>
    <t>ID</t>
  </si>
  <si>
    <t>BR</t>
  </si>
  <si>
    <t>Agency</t>
  </si>
  <si>
    <t>DOT</t>
  </si>
  <si>
    <t>USFWS</t>
  </si>
  <si>
    <t>AK</t>
  </si>
  <si>
    <t>NHTSA</t>
  </si>
  <si>
    <t>USACE</t>
  </si>
  <si>
    <t>FERC</t>
  </si>
  <si>
    <t>US Army</t>
  </si>
  <si>
    <t>NM</t>
  </si>
  <si>
    <t>MN</t>
  </si>
  <si>
    <t>STB</t>
  </si>
  <si>
    <t>FTA</t>
  </si>
  <si>
    <t>Project type</t>
  </si>
  <si>
    <t>Military facilities</t>
  </si>
  <si>
    <t>Water and wastewater</t>
  </si>
  <si>
    <t>Forestry</t>
  </si>
  <si>
    <t>Electric generating -- fossil</t>
  </si>
  <si>
    <t>Transportation -- Highways</t>
  </si>
  <si>
    <t>Public infrastructure</t>
  </si>
  <si>
    <t>Mining (non-coal)</t>
  </si>
  <si>
    <t>Transportation -- Rail and bus</t>
  </si>
  <si>
    <t>FSA</t>
  </si>
  <si>
    <t>FRA</t>
  </si>
  <si>
    <t>PA</t>
  </si>
  <si>
    <t>San Pedro Waterfront Project, Proposed Specific Development Project and Associated Infrastructure Improvements on Approximately 400 Acres, Currently Operated by Los Angeles Harbor Department (LAHD), Located along the West Side of Los Angeles Harbor's Main Channel, from the Vincent Thomas Bridge to Cabrillo Beach, US Army Section 10 and 404 and Section 103 Marine Protection, Research, and Sanctuaries Act Permits, (MPRSA) City of Los Angeles, CA</t>
  </si>
  <si>
    <t>FAA</t>
  </si>
  <si>
    <t>NRCS</t>
  </si>
  <si>
    <t>Mandan, Hidatsa and Arikara Nation's Proposed Clean Fuels Refinery Project, Construction and Operation of a New 13, 000 Barrel of Production per day Clean Fuels Refinery and Grow Hay for Buffalo, NPDES Permit, Fort Berthold Indian Reservation, Ward County, ND</t>
  </si>
  <si>
    <t>WI</t>
  </si>
  <si>
    <t>Indian Creek Mine Expansion, Proposed Mine Expansion would include Quarry Areas, Mine Facilities, Ore Storage Sites, Soil Salvage Stockpiles, Haul Roads, and Overburden Disposal Areas, Issuing Operating Permit #00105 and Plan of Operation #MTM78300, Broadwater County, MT</t>
  </si>
  <si>
    <t>SD</t>
  </si>
  <si>
    <t>NPS</t>
  </si>
  <si>
    <t>NIH</t>
  </si>
  <si>
    <t>AL</t>
  </si>
  <si>
    <t>TVA</t>
  </si>
  <si>
    <t>BOP</t>
  </si>
  <si>
    <t>USCG</t>
  </si>
  <si>
    <t>EPA</t>
  </si>
  <si>
    <t>BIA</t>
  </si>
  <si>
    <t>Los Vaqueros Reservoir Expansion Project, To Develop Water Supplies Environmental Water Management that Supports Fish Protection, Habitat Management, and other Environmental Water Needs in the Delta and Tributary River Systems, San Francisco Bay Area, Contra Costa County, CA</t>
  </si>
  <si>
    <t>ND</t>
  </si>
  <si>
    <t>NOAA</t>
  </si>
  <si>
    <t>FRBSF</t>
  </si>
  <si>
    <t>Federal Reserve Bank of San Francisco</t>
  </si>
  <si>
    <t>Federal Reserve Bank of San Francisco, Propose to sell the Property at 1015 Second Avenue that is Eligible for Listing on the National Register of Historic Places, located in Seattle, WA</t>
  </si>
  <si>
    <t>Shasta-Trinity National Forest Motorized Travel Management Project, Proposal to Prohibit Cross-County Motor Vehicle Travel off Designated National Forest Transportation System (NFTS) Roads, Motorized Trails and Areas by the Public Except as Allowed by Permit or other Authorization (excluding snowmobile use), CA</t>
  </si>
  <si>
    <t>NRC</t>
  </si>
  <si>
    <t>IBWC</t>
  </si>
  <si>
    <t>HI</t>
  </si>
  <si>
    <t>NY</t>
  </si>
  <si>
    <t>Eddy Gulch Late-Successional Reserve Fuels/Habitat Protection Project, To Protect Late-Successional Habitat used by the Northern Spotted Owl and Other Late-Successional-Dependent Species, Salmon River and Scott River Ranger District, Klamath National Forest, Siskiyou County, CA</t>
  </si>
  <si>
    <t>USMC</t>
  </si>
  <si>
    <t>BPA</t>
  </si>
  <si>
    <t>Bald Mountain Mine North Operations Area Project, Proposes to Expand Current Mining Operations at several Existing Pits, Rock Disposal Areas, Heap Leach Pads, Processing Facilities, and Interpit Area, Combining the Bald Mountain Mine Plan of Operations Boundary and the Mooney Basin Operation Area Boundary, White Pine County, NV</t>
  </si>
  <si>
    <t>FEIS pages</t>
  </si>
  <si>
    <t>Tonopah Solar Energy LLC Crescent Dunes Solar Energy Project Final Environmental Impact Statement</t>
  </si>
  <si>
    <t>Final Environmental Impact Statement Blackfoot Bridge Mine</t>
  </si>
  <si>
    <t>Vol 4 p12</t>
  </si>
  <si>
    <t>x</t>
  </si>
  <si>
    <t>Considers greenhouse emissions from operation and purchased electricity, but refuses to draw any conclusion about their potential impact on climate change, calling the scientific evidence inadequate</t>
  </si>
  <si>
    <t>Final Environmental Impact Statement and Proposed Amendment to the California Desert Conservation Area Plan for the Calico Solar (formerly SES Solar One) Project, San Bernardino County, California</t>
  </si>
  <si>
    <t>183, 495-508</t>
  </si>
  <si>
    <t>covers emissions from construction, operation, and emissions offsets from renewable power generation. Includes indirect impacts from climate change on the site</t>
  </si>
  <si>
    <t>Draft Environmental Impact Statement for East County Substation, Tule Wind, and Energia Sierra Juarez Gen-Tie Projects</t>
  </si>
  <si>
    <t>Section D18. p14</t>
  </si>
  <si>
    <t>covers emissions from construction, operation, and induced trips</t>
  </si>
  <si>
    <t>Final Environmental Impact Statement: Vegetation Treatments Using
Herbicides on BLM Lands in Oregon</t>
  </si>
  <si>
    <t>169-174</t>
  </si>
  <si>
    <t>considers emissions from vegetation management plan, herbicide etc, and effect that treatments will have on carbon budget of vegetation</t>
  </si>
  <si>
    <t>West Butte Wind Power Right of Way Final Environmental Impact Statement</t>
  </si>
  <si>
    <t>181-183</t>
  </si>
  <si>
    <t>Considers construction and operation emissions, vegetation carbon sequestration, and offset from renewable energy generation</t>
  </si>
  <si>
    <t>GASCO ENERGY INC. Uinta Basin Natural Gas Development Project Draft Environmental Impact Statement</t>
  </si>
  <si>
    <t>Ch. 4 p9, 13</t>
  </si>
  <si>
    <t>No discussion of climate change or greenhouse gas emissions, except for inclusion of greenhouse gases along with other pollutants in air quality section</t>
  </si>
  <si>
    <t>FINAL Environmental Impact Statement for the 
Wright Area Coal Lease Applications</t>
  </si>
  <si>
    <t>Ch. 3 p 323-327. Ch. 4 p130-143</t>
  </si>
  <si>
    <t>Considers the emissions generated in the coal extraction process, the emissions when that coal is combusted for power generation, and impacts of climate change on the project site.</t>
  </si>
  <si>
    <t>West Tavaputs Plateau
Natural Gas Full Field Development Plan</t>
  </si>
  <si>
    <t>36,46,52, 54,57</t>
  </si>
  <si>
    <t>Considers only direct operation emissions and combustion of gas produced</t>
  </si>
  <si>
    <t>Final Environmental Impact Statement for the ON Line Transmission Project</t>
  </si>
  <si>
    <t>Ch.4 p 29-31, Ch. 5 p 39</t>
  </si>
  <si>
    <t>Claims that methodology for analyzing climate impacts is lacking. Cites CEQ guidance. Considers emissions from construction, operation, transmission potential for renewable projects</t>
  </si>
  <si>
    <t xml:space="preserve">Buckskin Mine Hay Creek II Project, Coal Lease </t>
  </si>
  <si>
    <t>Ch. 3.18 p342, Sec. 4.2 p468-486, esp. 476</t>
  </si>
  <si>
    <t>Note: Construction is not included because this is simply a lease reauthorization for an existing coal mine. In addition to operations, the analysis also includes the emissions from the eventual combustion of the coal. Notes uncertainties in how coal will be burned</t>
  </si>
  <si>
    <t>Plan Amendment/ FEIS for the Palen Solar Power Project</t>
  </si>
  <si>
    <t>Sec 4.3 p1-16</t>
  </si>
  <si>
    <t>Considers emissions from construction, operation, maintainance, induced trips. Also considers offset from renewable power generation</t>
  </si>
  <si>
    <t>Cortez Hills Expansion Project FEIS</t>
  </si>
  <si>
    <t>sec 3.2 p1</t>
  </si>
  <si>
    <t>Briefly discusses emissions from extraction, vehicle trips and electricity use</t>
  </si>
  <si>
    <t>Sonoran Solar Energy Project</t>
  </si>
  <si>
    <t>Sec 4 p. 42-59</t>
  </si>
  <si>
    <t>Considers emissions from construction, operation, and vegetation loss.Also considers offset from renewable power generation. Thorough GHG calculations for different scenarios, including use of photovoltaics instead of solar thermal</t>
  </si>
  <si>
    <t>Northern Arizona Proposed Withdrawal Project, Proposed 20-Year Withdrawal of Approximately 1 Million Acres of Federal Mineral Estate, Coconino and Mohave Counties, AZ</t>
  </si>
  <si>
    <t>Sec 4 p16, p28</t>
  </si>
  <si>
    <t>Emissions from mineral exploration and drilling, extraction operations, and induced trips are compared for each withdrawal alternative. Does not consider potential emissions offset from use in nuclear electricity generation</t>
  </si>
  <si>
    <t>Silver State Solar Energy Project, Construction and Operation of a 400-megawatt Photovoltaic Solar Plant and Associated Facilities on Public Lands, Application, Right-of-Way Grant, Primm and Clark Counties, NV</t>
  </si>
  <si>
    <t>1.9, 3.10, 4.5, 4.158</t>
  </si>
  <si>
    <t>Considers emissions from construction and operation of the solar project. Does not calculate renewable energy offset</t>
  </si>
  <si>
    <t>First Solar Desert Sunlight Solar Farm (DSSF) Project, Proposing To Develop a 550-Megawatt Photovoltaic Solar Project, Also Proposes to Facilitate the Construction and Operation of the Red Bluff Substation, California Desert Conservation Area</t>
  </si>
  <si>
    <t xml:space="preserve">Ch. 4 Sec 5 </t>
  </si>
  <si>
    <t>Analyzes emissions from construction and operation of the solar project. Unlike other solar EIS's, also includes emissions of the GHG Sulfur hexafluoride from circuit breakers at electric substations, emissions offset from renewable power generation, and lost carbon storage capacity from vegetation</t>
  </si>
  <si>
    <t>Chevron Energy Solutions Lucerne Valley Solar Project, Proposing To Develop a 45-megawatt (MW) Solar Photovotaic (PV) Plant and Associated Facilities on 516 Acres of Federal Land Managed, California Desert Conservation Area Plan Amendment</t>
  </si>
  <si>
    <t>4.1-2</t>
  </si>
  <si>
    <t>Briefly considers emissions from project construction, vehicle trips, and offset by renewable power generation.</t>
  </si>
  <si>
    <t>BLM/ DOE</t>
  </si>
  <si>
    <t>California Desert Conservation Area Plan Amendment / Final Environmental Impact Statement for Ivanpah Solar Electric Generating System</t>
  </si>
  <si>
    <t>70-85</t>
  </si>
  <si>
    <t>Covers GHG emissions caused by project construction and operation; carbon sequestration eliminated by project construction and operation; and emissions avoided by displacement of fossil-fuel generation.</t>
  </si>
  <si>
    <t>Plan Amendment / Final Environmental Impact Statement for the Blythe Solar Power Project</t>
  </si>
  <si>
    <t>353-367</t>
  </si>
  <si>
    <t>thoroughly covers emissions from construction, operation, and emissions offsets from renewable power generation. Includes indirect impacts from climate change on the site</t>
  </si>
  <si>
    <t>Plan Amendment / Final Environmental Impact Statement for the Genesis Solar Power Project</t>
  </si>
  <si>
    <t>115-121, 335-349</t>
  </si>
  <si>
    <t>BLM/DOE</t>
  </si>
  <si>
    <t>Desert Sunlight Solar Farm Project California Desert Conservation Area Plan Amendment and Final Environmental Impact Statement</t>
  </si>
  <si>
    <t>303-310, 241-</t>
  </si>
  <si>
    <t>Thorough consideration of emissions from construction, operation, induced trips, offsets from renewable generation, and impacts of climate change on the project</t>
  </si>
  <si>
    <t>BOEMRE</t>
  </si>
  <si>
    <t>National</t>
  </si>
  <si>
    <t>Outer Continental Shelf Oil &amp; Gas Leasing Program: 2007-2012 Final Environmental Impact Statement</t>
  </si>
  <si>
    <t>Vol IV p5- 14</t>
  </si>
  <si>
    <t>TX</t>
  </si>
  <si>
    <t>Gulf of Mexico OCS Oil and Gas Lease Sale: 2011 Western Planning Area Lease Sale 218 Final Supplemental Environmental Impact Statement</t>
  </si>
  <si>
    <t>Section 4-12 p. 174</t>
  </si>
  <si>
    <t>Considers only impact of climate change on project. GHG reporting requirements are mentioned, but projected emissions are not quantified</t>
  </si>
  <si>
    <t xml:space="preserve">San Joaquin River Restoration Program, A Comprehensive Long-Term Effort to Restore Flows to the San Joaquin River from Friant Dam to the Confluence of Merced River </t>
  </si>
  <si>
    <t>Ch. 7 p1-32</t>
  </si>
  <si>
    <t>Compares direct operational emissions from pumping facilities, electricity use, project construction, and induced traffic for each of several alternatives. Also considers effect of climate change on water flows</t>
  </si>
  <si>
    <t>Big Eddy-Knight Transmission Project Final Environmental Impact Statement</t>
  </si>
  <si>
    <t xml:space="preserve">p266, </t>
  </si>
  <si>
    <t>Thoroughly considers emissions from construction, loss of vegetation, operation, induced trips etc</t>
  </si>
  <si>
    <t xml:space="preserve">South Coast Conduit/Upper Reach 
Reliability Project </t>
  </si>
  <si>
    <t>Sec 4.2.7 (p4-8)</t>
  </si>
  <si>
    <t>Calculates construction and operation emissions, but uses the "small fraction" argument to claim no significant impact</t>
  </si>
  <si>
    <t>Madera Irrigation District Water Supply Enhancement Project, Constructing and Operating a Water Bank on the Madera Property, Madera County, CA</t>
  </si>
  <si>
    <t>3.2-2, 3.2-11-16</t>
  </si>
  <si>
    <t>Considers emissions from project construction and pump operation</t>
  </si>
  <si>
    <t>WV</t>
  </si>
  <si>
    <t>Mountaineer Commercial Scale Carbon Capture and Storage Project, Draft Environmental Impact Statement (DOE/EIS-0445D)</t>
  </si>
  <si>
    <t>155-163</t>
  </si>
  <si>
    <t>Extensive discussion of direct and indirect GHG emissions, and of cumulative climate impacts</t>
  </si>
  <si>
    <t>KS</t>
  </si>
  <si>
    <t>Final Environmental Impact Statement for the Proposed Abengoa Biorefinery Project near Hugoton, Stevens County, Kansas</t>
  </si>
  <si>
    <t>240-251</t>
  </si>
  <si>
    <t>Covers emissions from ethanol feedstock cultivation, transportation and refinery operation, as well as offsets from electricity production and GHG reductions relative to conventional fuels. Uses wells-to-wheels GREET model</t>
  </si>
  <si>
    <t>Central Ferry-Lower Monumental
500-kilovolt Transmission Line Project Draft Environmental Impact Statement</t>
  </si>
  <si>
    <t>221-225</t>
  </si>
  <si>
    <t>Covers construction and operation emissions</t>
  </si>
  <si>
    <t>Texas Clean Energy Project Final Environmental Impact Statement</t>
  </si>
  <si>
    <t xml:space="preserve">126- 144, 385-387, </t>
  </si>
  <si>
    <t>Covers emissions from plant operation, construction, and also impacts of carbon sequestration</t>
  </si>
  <si>
    <t>DOE/ NNSA</t>
  </si>
  <si>
    <t>TN</t>
  </si>
  <si>
    <t>Final Site-Wide Environmental Impact Statement for the Y-12 National Security Complex</t>
  </si>
  <si>
    <t>273-277</t>
  </si>
  <si>
    <t>Considers all emissions sources, judged to be very minor</t>
  </si>
  <si>
    <t>DOE/ OEM</t>
  </si>
  <si>
    <t>TX &amp; CO</t>
  </si>
  <si>
    <t>Final Long-Term Management and Storage of Elemental Mercury Final Environmental Impact Statement</t>
  </si>
  <si>
    <t>476-477</t>
  </si>
  <si>
    <t>Only a brief mention of operating emissions, no methodology used or projections made. Uses the "small fraction of overall emissions" excuse</t>
  </si>
  <si>
    <t>DOE/ USDA</t>
  </si>
  <si>
    <t>Final Environmental Impact Statement for the South Dakota PrairieWinds Project</t>
  </si>
  <si>
    <t>217-219</t>
  </si>
  <si>
    <t xml:space="preserve">Section very briefly acknowledges emissions from construction, operation, or emissions reduction from renewable power generation. </t>
  </si>
  <si>
    <t>Final Environmental Impact Statement For the KEYSTONE XL PROJECT</t>
  </si>
  <si>
    <t>Section 3.12 p14-16 and section 3.14 p 38-61</t>
  </si>
  <si>
    <t>Covers emissions from construction, pipeline operation, related emissions from refineries and canadian tar sands extraction, induced trips and climate impacts on the project. A full wells-to-wheels lifecycle analysis was conducted, combining the results of several prior studies. However, DOS claims that there is great uncertainty about whether the project would substantially increase cumulative GHG emissions</t>
  </si>
  <si>
    <t>RI</t>
  </si>
  <si>
    <t>T.F. Green airport improvement program Final Environmental Impact Statement</t>
  </si>
  <si>
    <t>163-164, 368</t>
  </si>
  <si>
    <t>Claims that the project would result in an increase of GHG emissions of less than 25,000 metric tons, which means detailed GHG analysis is not required under current NEPA guidelines</t>
  </si>
  <si>
    <t>Philadelphia International Airport (PHL) Capacity Enhancement Program Final Environmental Impact Statement</t>
  </si>
  <si>
    <t>p126</t>
  </si>
  <si>
    <t>Argues that since Philadelphia airport accounts for less than 1% of US aviation activity, GHG emissions must not be significant</t>
  </si>
  <si>
    <t>Palm Beach International Airport Project, Construction and Operation of Proposed Airfield Improvements</t>
  </si>
  <si>
    <t>Ch 5 p 23-25</t>
  </si>
  <si>
    <t>Very brief discussion of emissions sources from airports with no project-specific calculation of impacts</t>
  </si>
  <si>
    <t>Apex Expansion Project
Final Environmental Impact Statement</t>
  </si>
  <si>
    <t>Section 4 p. 164,198</t>
  </si>
  <si>
    <t>Considers direct and indirect emissions from operation and construction of the project</t>
  </si>
  <si>
    <t>I-70 Mountain Corridor Final Programmatic Environmental Impact Statement</t>
  </si>
  <si>
    <t>Ch. 4 p26</t>
  </si>
  <si>
    <t>Cursory discussion of emissions impacts from highway expansion</t>
  </si>
  <si>
    <t>MD</t>
  </si>
  <si>
    <t>Final Environmental Impact Statement: MD 3 PROJECT PLANNING STUDY</t>
  </si>
  <si>
    <t>21-22</t>
  </si>
  <si>
    <t>Offers extensive explanation of why MD DOT believes it is not required to consider GHGs under NEPA, as interpreted by FHWA</t>
  </si>
  <si>
    <t>VT</t>
  </si>
  <si>
    <t xml:space="preserve">Circ-Williston Transportation Project Final Environmental Impact Statement </t>
  </si>
  <si>
    <t>Ch.15 p.</t>
  </si>
  <si>
    <t>Summarizes GHG impacts generally, but offers  explanation of why VT DOT believes it is not required to consider GHGs under NEPA, as interpreted by FHWA</t>
  </si>
  <si>
    <t>ALASKAN WAY VIADUCT REPLACEMENT PROJ ECT
Final Environmental Impact Statement and Section 4(f) Evaluation</t>
  </si>
  <si>
    <t>ch5 p158, Ch6 p199, Ch7 p212</t>
  </si>
  <si>
    <t>Covers emissions from traffic scenarios under all alternatives, construction emissions and impacts of climate change on the project</t>
  </si>
  <si>
    <t>Jackson South Final Environmental Impact Statement</t>
  </si>
  <si>
    <t>p286-287</t>
  </si>
  <si>
    <t>Uses the "insignificant fraction of global emissions" argument. Provides figures for statewide highway emissions and for the estimated contribution of traffic from the proposed project</t>
  </si>
  <si>
    <t>DC</t>
  </si>
  <si>
    <t>South Capitol Street Final Environmental Impact Statement</t>
  </si>
  <si>
    <t>p.38</t>
  </si>
  <si>
    <t>Very brief mention of projected contribution of project vehicle traffic. Claims no greenhouse impacts</t>
  </si>
  <si>
    <t xml:space="preserve">FINAL ENVIRONMENTAL IMPACT STATEMENT
SR 520 BRIDGE REPLACEMENT AND HOV PROGRAMS </t>
  </si>
  <si>
    <t>Sec 5.9 p23, Sec 6.9 p115</t>
  </si>
  <si>
    <t>Fully calculates traffic emissions under all projected alternatives. Considers project in light of statewide GHG emissions reduction goals. Also considers construction impacts, including materials lifecycles</t>
  </si>
  <si>
    <t>North 1–25 Corridor, To Identify and Evaluate Multi-Modal Transportation Improvement</t>
  </si>
  <si>
    <t>Sec. 3.21, 3.26-32</t>
  </si>
  <si>
    <t>Considers GHG emissions in an "Energy" section, construction emissions, impact on traffic</t>
  </si>
  <si>
    <t>Interstate 5 Columbia River Crossing Project, Bridge, Transit, and Highway Improvements, from State Route 500 in Vancouver, WA to Columbia Boulevard in Portland, OR</t>
  </si>
  <si>
    <t>Sec 3 p 439</t>
  </si>
  <si>
    <t>Thorough consideration of transportation/traffic emissions, emissions from electricity use by public transit, construction, and climate vulnerability</t>
  </si>
  <si>
    <t xml:space="preserve">Yerba Buena Island Ramps Improvement Project on Interstate 80 </t>
  </si>
  <si>
    <t>sec. 4 p34</t>
  </si>
  <si>
    <t>Considers construction emissions and impact on overall traffic flow and emissions</t>
  </si>
  <si>
    <t>Final Environmental Impact Statement for the Proposed DesertXpress High-Speed Passenger Train Victorville, California to Las Vegas, Nevada</t>
  </si>
  <si>
    <t>p317-325</t>
  </si>
  <si>
    <t>Emissions from operation, construction and electricity use are considered (see DEIS)</t>
  </si>
  <si>
    <t xml:space="preserve">East Link Rail Transit Project, Proposes to Construct and Operate an Extension of the Light Rail System from downtown Seattle to Mercer Island, Bellevue, and Redmond </t>
  </si>
  <si>
    <t xml:space="preserve">Section 4.6.1, p4-6, 12, 15, </t>
  </si>
  <si>
    <t>Extensive analysis, with dedicated sections for GHG emissions from construction, operation, etc. Considers electricity use by project.</t>
  </si>
  <si>
    <t>Crenshaw Transit Corridor Project, Proposes to Improve Transit Services, Funding, Los Angeles County Metropolitan Transportation Authority (LACMTA), Los Angeles</t>
  </si>
  <si>
    <t>Ch4 p98, 105-106</t>
  </si>
  <si>
    <t>Considers electricity use by new transit project and emissions offset from reduced vehicle traffic</t>
  </si>
  <si>
    <t>South Corridor Portland-Milwaukie Light Rail Project, Connecting Downtown Portland, OR and WA</t>
  </si>
  <si>
    <t>sec 3 p241, 245 248, p195</t>
  </si>
  <si>
    <t>Considers emissions from operation and construction of light rail service</t>
  </si>
  <si>
    <t>North Metro Corridor Project, Proposed a Commuter Rail Transit from downtown Denver, Colorado, north to State Highway (SH) 7, in the Cities of Denver, Commerce City, Thornton, Northglenn, and Adams County, CO</t>
  </si>
  <si>
    <t>3.7-6-9, 17</t>
  </si>
  <si>
    <t>Considers emissions from operation, construction of commuter rail project, electricity use, impacts on traffic etc.</t>
  </si>
  <si>
    <t>HUD</t>
  </si>
  <si>
    <t>Yesler Terrace Redevelopment Project, Proposed Redevelopment of Yesler Terrace to Create a Mixed Income, Mixed-Use-Residential Community on a 28 Acre Site</t>
  </si>
  <si>
    <t>Sec1p54, Sec. 3.5 p1-10</t>
  </si>
  <si>
    <t>Calculates emissions from construction, residential energy and electricity consumption, and induced trips. Discusses mitigation measures including green building techniques</t>
  </si>
  <si>
    <t>NASA</t>
  </si>
  <si>
    <t>VA</t>
  </si>
  <si>
    <t>Wallops Flight Facility, Shoreline Restoration and Infrastructure Protection Program, Implementation, Wallops Island, VA</t>
  </si>
  <si>
    <t>p95, 347, 349</t>
  </si>
  <si>
    <t>Considers direct emissions from expansion and operation of the launch facility, as well as indirect emissions from sequestration loss due to wetland degradation and destruction. Also considers effects of climate change on marine habitat</t>
  </si>
  <si>
    <t>Medium- and Heavy-Duty Fuel Efficiency Improvement Program
Final Environmental Impact Statement</t>
  </si>
  <si>
    <t>Entire. Esp. Sec. 3.4p63-90 and Sec. 4.4 p36-43</t>
  </si>
  <si>
    <t>Exhaustive consideration of climate impacts of improved national fuel efficiency standards for trucks and commercial vehicles</t>
  </si>
  <si>
    <t>Amendment 10 to the Fishery Management Plan for Spiny Lobster, Establish Annual Catch Limits and Accountability Measures for Caribbean Spiny Lobster, Gulf of Mexico and South Atlantic Regions</t>
  </si>
  <si>
    <t>p28-77</t>
  </si>
  <si>
    <t>Considers in detail the effects of climate change on corals and various other threatened marine species</t>
  </si>
  <si>
    <t>Jackson Hole Airport Use Agreement Extension Project, To Enable Continued Air Transportation Services, Grand Teton National Park, Teton County, WY</t>
  </si>
  <si>
    <t>p132-136</t>
  </si>
  <si>
    <t>Calculates emssions from airport operations and aviation traffic. Considers regional climate change and impacts on Grand Teton NP</t>
  </si>
  <si>
    <t>NE</t>
  </si>
  <si>
    <t>Generic Environmental Impact Statement for License Renewal of Nuclear Plants. Supplement 41- Regarding Cooper Nuclear Station</t>
  </si>
  <si>
    <t>p181 (4-43)</t>
  </si>
  <si>
    <t>Considers only the impact of climate change on the project, not vice versa</t>
  </si>
  <si>
    <t>Environmental Impact Statement  for Combined Licenses (COLs) for  
Comanche Peak Nuclear Power Plant  Units 3 and 4</t>
  </si>
  <si>
    <t>292-293 , 386, 515-516</t>
  </si>
  <si>
    <t>Acknowledges emissions from operation, construction and induced trips</t>
  </si>
  <si>
    <t>GA</t>
  </si>
  <si>
    <t>Final Supplemental Environmental Impact Statement for Combined License (COLs) for Vogtle Electric Generating Plant Unit 3 and 4 (NUREG-1947)</t>
  </si>
  <si>
    <t>p129-132</t>
  </si>
  <si>
    <t>Calvert Cliffs Nuclear Power Plant Unit 3, Application for Combined License for Construct and Operate a New Nuclear Unit</t>
  </si>
  <si>
    <t>Sec 7 p35, sec 10p28</t>
  </si>
  <si>
    <t>Considers impact of climate change on the project. Provides only a generic calculation of emissions from nuclear power plants, which does not include electricity use. Emissions from new unit construction are also omitted.</t>
  </si>
  <si>
    <t xml:space="preserve">Environmental Impact Statement for the Nichols Ranch ISR Project 
</t>
  </si>
  <si>
    <t>Sec. 5 p39-43</t>
  </si>
  <si>
    <t>Considers emissions from operation, construction of in situ uranium recovery/milling facility. Also considers impact of climate change on project site</t>
  </si>
  <si>
    <t>Generic Environmental Impact Statement for License Renewal of 
Nuclear Plants: Palo Verde Nuclear Generating Station</t>
  </si>
  <si>
    <t>Sec 6 p1-10, sec 4 p29, sec 8 p9, p18, 28</t>
  </si>
  <si>
    <t>Considers direct and indirect emissions from nuclear generating station operation, and compares to emissions impact of alternatives</t>
  </si>
  <si>
    <t>Moore Ranch In-Situ Uranium Recovery (ISR) Project</t>
  </si>
  <si>
    <t>Sec 5 p. 27-33</t>
  </si>
  <si>
    <t>Considers emissions from drilling and mining operations, and from purchased electricity. Excludes induced trips and loss of sequestration</t>
  </si>
  <si>
    <t>NH</t>
  </si>
  <si>
    <t>Generic - License Renewal of Nuclear Plants Regarding Seabrook Station, Supplemental 46</t>
  </si>
  <si>
    <t>Sec 4 p60</t>
  </si>
  <si>
    <t>Unlike many NRC permit renewal SEISs, this one includes calculations of GHG emissions from all the supporting equipment at the nuclear generating station, including boilers, generators, compressors etc. Also includes emissions from induced trips and impact of climate on project.</t>
  </si>
  <si>
    <t>SC</t>
  </si>
  <si>
    <t>Virgil C. Summer Nuclear Station Units 2 and 3, Application for Combined License to Construct and Operate a New Nuclear Reactors, Fairfield County, SC</t>
  </si>
  <si>
    <t>Sec 7.6.2 p29, Sec 10 p26</t>
  </si>
  <si>
    <t>Considers emssions from construction and operation of two new nuclear generating stations, as well as potential renewable energy offset and impacts of climate change on project, especially with regard to cumulative impacts to water (used for reactor cooling, discharged hot).</t>
  </si>
  <si>
    <t>NRC/DOE</t>
  </si>
  <si>
    <t>Environmental Impact Statement for the Proposed American Centrifuge Plant in Piketon, Ohio</t>
  </si>
  <si>
    <t>None</t>
  </si>
  <si>
    <t>Although air quality is discussed in the EIS with respect to other pollutants, there is no discussion of greenhouse gas emissions or climate change</t>
  </si>
  <si>
    <t>Environmental Impact Statement for the Proposed Areva Eagle Rock Enrichment Facility</t>
  </si>
  <si>
    <t>398-413</t>
  </si>
  <si>
    <t>considers operation and construction impacts, induced trips, and offset from renewable generation. Electricity consumed is not considered.</t>
  </si>
  <si>
    <t>Port MacKenzie Rail Line Extension Construction and Operation</t>
  </si>
  <si>
    <t>Sec 8 p9, sec 16 p14-16</t>
  </si>
  <si>
    <t>Final Supplemental Environmental Impact Statement, Sequoyah Nuclear Plant Units 1 and 2 License Renewal, Hamilton County, Tennessee</t>
  </si>
  <si>
    <t>130-131</t>
  </si>
  <si>
    <t>Briefly discusses the Greenhouse Effect, carbon cycle, and US emissions from energy generation. Considering only direct emissions, claims that nuclear electricity generation produces no measurable GHG emissions</t>
  </si>
  <si>
    <t>Natural Resource Plan, To Determine How TVA Will Manage Its Natural Resource Over the Next 20 Years</t>
  </si>
  <si>
    <t>Ch 5 p 264</t>
  </si>
  <si>
    <t>Considers GHG impacts of various land management schemes, and impacts of climate change on these holdings</t>
  </si>
  <si>
    <t>Gulf of Mexico Range Complex Training and Operations EIS</t>
  </si>
  <si>
    <t>Sec. 3. p3-76, Sec. 6 p51</t>
  </si>
  <si>
    <t>Discusses climate change and Navy's mitigation efforts, but provides no calculations of project impact. It cites the "hard to know how much one action contributes" logic, and still-incomplete status of CEQ guidance</t>
  </si>
  <si>
    <t>PROGRAMMATIC - Growth, Realignment, and Stationing of Army Aviation Assets, Evaluates Environmental Impacts of Stationing Army Combat Aviation Brigade at Fort Carson, CO and Joint Base Lewis-McChord, WA</t>
  </si>
  <si>
    <t xml:space="preserve">Sec 5 p18, Sec 6p18,  </t>
  </si>
  <si>
    <t>Considers aircraft operation emissions, induced trips by ground vehicles, and construction emissions.</t>
  </si>
  <si>
    <t>Final Environmental Impact Statement: Sunridge Properties, Rancho Cordova, California</t>
  </si>
  <si>
    <t>Section 3.16 p358-375</t>
  </si>
  <si>
    <t>Includes full discussion of all direct and indirect emissions sources, impact of climate change on project, and potential mitigation measures</t>
  </si>
  <si>
    <t>Final Environmental Impact Report/Environmental Impact Statement
Rio del Oro Specific Plan Project</t>
  </si>
  <si>
    <t>Section 3.15 p36-37</t>
  </si>
  <si>
    <t>Briefly considers emissions from construction, operation and induced trips.</t>
  </si>
  <si>
    <t>Folsom South of U.S. 50 Specific Plan Project</t>
  </si>
  <si>
    <t>P. 639, 648-697 Appendix C, p104</t>
  </si>
  <si>
    <t>Conducted local GHG inventory and calculated project contribution. Very extensive consideration of all direct and indirect emissions, and thorough discussion of climate change impacts on project</t>
  </si>
  <si>
    <t>LA</t>
  </si>
  <si>
    <t>Mississippi River Gulf Outlet (MRGO) Ecosystem Restoration Study</t>
  </si>
  <si>
    <t>160,186, 193</t>
  </si>
  <si>
    <t>This coastal wetlands revegetation and restoration plan considers the effects of climate change on sea level rise and the likely impacts to LA wetlands</t>
  </si>
  <si>
    <t>U.S. STEEL KEETAC TACONITE MINE EXPANSION PROJECT 
Final Environmental Impact Statement</t>
  </si>
  <si>
    <t>5.15-5.36</t>
  </si>
  <si>
    <t>Considers comprehensive carbon footprint calculated using TCR GRP</t>
  </si>
  <si>
    <t>Missouri River Commercial Dredging, Proposal to Extract Sand and Gravel from the Missouri River, US Corp of Engineer's Section 10 and 404 Permits, Kansas City, Central Missouri and Greater St. Louis, Missouri</t>
  </si>
  <si>
    <t>4.14-4</t>
  </si>
  <si>
    <t>Considers greenhouse gas emssions from dredging boats and equipment, and from gravel processing plants</t>
  </si>
  <si>
    <t>Nellis Air Force Base (AFB), Proposes to Base 36 F-35 Fighter Aircraft</t>
  </si>
  <si>
    <t>Sec 3 p33</t>
  </si>
  <si>
    <t>Aircraft operations emissions will be considered. Local climate change impacts also discussed</t>
  </si>
  <si>
    <t>Tehachapi Renewable Transmission Project,</t>
  </si>
  <si>
    <t>p20-21, 40-41</t>
  </si>
  <si>
    <t>Considers direct and indirect emissions, and offsets from renewable energy use</t>
  </si>
  <si>
    <t>COBBLER II TIMBER SALE AND FUELS REDUCTION PROJECT</t>
  </si>
  <si>
    <t>Ch. 3 p156-163</t>
  </si>
  <si>
    <t>Uses the "insignificant fraction of global emissions" argument. Considers carbon sequestration effects of forest management practices, effects of climate change on silviculture</t>
  </si>
  <si>
    <t>D-Bug Hazard Reduction Timber Sale Project</t>
  </si>
  <si>
    <t>p240, 247</t>
  </si>
  <si>
    <t>Lifecycle carbon storage analysis. Emissions from timber harvest. Considers impact of climate on project ecosystem, endangered species habitat</t>
  </si>
  <si>
    <t>Jarbidge , Mountain City, and Ruby Mountains Ranger Districts Combined Travel Management Project</t>
  </si>
  <si>
    <t>p205-207</t>
  </si>
  <si>
    <t>Brief consideration of climate change, discussion of impacts on sensitive species</t>
  </si>
  <si>
    <t>Oil and Gas Leasing on Lands Administered by the Dixie National Forest</t>
  </si>
  <si>
    <t>3-162, 4-192, 5-105</t>
  </si>
  <si>
    <t>Considers emissions from oil and gas extraction, transport, refining and combustion. Also considers impacts of climate change on national forest</t>
  </si>
  <si>
    <t>Final   Environmental  Impact  Statement 
Beaverslide Timber Sale and Fuel Treatment Project</t>
  </si>
  <si>
    <t>p177</t>
  </si>
  <si>
    <t>Claims that forest management practices like thinning improve ecosystem function enough to offset carbon storage loss from the selective cutting</t>
  </si>
  <si>
    <t xml:space="preserve">Fernow Experimental Forest Project,  Research Studies Involving Removal of Trees, Prescribed Burning, Fertilization, and Use of Herbicides </t>
  </si>
  <si>
    <t>p115, 102, 98, 94, 77</t>
  </si>
  <si>
    <t>Considers how management practices will improve forest adaptability to climate change</t>
  </si>
  <si>
    <t>Big Moose Vegetation Management Project, Implementation, Divide Ranger District, Rio National Forest, Hinsdale and Mineral Counties, CO</t>
  </si>
  <si>
    <t>Sec 3 p142, Appendix F</t>
  </si>
  <si>
    <t>Mentions but does not calculate sequestration impacts of forest management practices, and ecological impacts of climate change</t>
  </si>
  <si>
    <t>Nationwide Aerial Application of Fire Retardant Project, Proposing to Continue the Aerial Application of Fire on National Forest System Lands, Implementation</t>
  </si>
  <si>
    <t>FEIS refers to DEIS</t>
  </si>
  <si>
    <t>p108</t>
  </si>
  <si>
    <t xml:space="preserve">Acknowledges effects of climate change on botanical resources and animal species, but does not calculate emissions from aerial fire retardant flight operations </t>
  </si>
  <si>
    <t>Proposed Land Exchange Yukon  
Flats National Wildlife Refuge Final Environmental Impact Statement</t>
  </si>
  <si>
    <t>p.42-44</t>
  </si>
  <si>
    <t>Considers emissions from potential oil and gas exploration and development on lands which the USFWS would cede as part of a land exchange. Concludes that they would not significantly impact Alaska's overall emissions</t>
  </si>
  <si>
    <t>Hays County Regional Habitat Conservation Plan</t>
  </si>
  <si>
    <t>p157</t>
  </si>
  <si>
    <t>Considers carbon sequestration from preservation of mature forest, and ecological impacts of climate change</t>
  </si>
  <si>
    <t>USN</t>
  </si>
  <si>
    <t>GU</t>
  </si>
  <si>
    <t>Guam and Commonwealth of the Northern Mariana Islands (CNMI) Military Relocation, Proposed Relocating Marines from Okinawa, Visiting Aircraft Carrier Berthing, and Army Air and Missile Defense Task Force</t>
  </si>
  <si>
    <t>Ch.4 sec4, p87</t>
  </si>
  <si>
    <t>Calculates GHG emissions from x. Also considers effect of climate change on Pacific islands, mitigation and adaptation</t>
  </si>
  <si>
    <t>Silver Strand Training Complex (SSTC) Project, Proposed Naval Training Activities, Cities of Coronado and Imperial Beach, San Diego County, CA</t>
  </si>
  <si>
    <t>Sec 4.3 p4-8</t>
  </si>
  <si>
    <t>Considers emissions from expanded military exercises, including aircraft and naval fleet emissions, induced trips</t>
  </si>
  <si>
    <t>Gulf of Alaska Navy Training Activities, Proposal to Support and Conduct Current, Emerging, and Future Training Activities, Implementation, Gulf of Alaska, AK</t>
  </si>
  <si>
    <t>Sec 3.1 p3, Sec 4.2 p14</t>
  </si>
  <si>
    <t>Considers impact of climate change on marine species and habitat, ocean acidification etc. Calculates emissions from naval operations under the proposed alternatives.</t>
  </si>
  <si>
    <t>USN-BRAC</t>
  </si>
  <si>
    <t>Draft Supplemental Environmental Impact Statement for the Disposal and Reuse of Hunters Point Naval Shipyard, San Francisco, CA</t>
  </si>
  <si>
    <t>133-182</t>
  </si>
  <si>
    <t>Covers most construction and operation emissions. Uses the "small fraction of US total emissions, hence no significant impact" argument</t>
  </si>
  <si>
    <t>WAPA</t>
  </si>
  <si>
    <t>Final Environmental Impact Statement: Modification of the Groton Generation Station Interconnection Agreement</t>
  </si>
  <si>
    <t>11,28,35, 44, 64-69, 83-84</t>
  </si>
  <si>
    <t>Considers only operation emissions. Declines to speculate on their potential contribution to climate change, citing methodological uncertainty</t>
  </si>
  <si>
    <t>(note: not in supplement, FEIS not yet issued)</t>
  </si>
  <si>
    <t xml:space="preserve">Ch. 6 p86, p97, </t>
  </si>
  <si>
    <t>Solar Energy Development Draft Programmatic Environmental Impact Statement</t>
  </si>
  <si>
    <t>BLM, DOE</t>
  </si>
  <si>
    <t>Introductory BLM impact analysis (Ch. 6) considers the impact of climate change in the region. It notes that renewable generation can reduced overall emissions when it displaces fossil fuels, but provides only a rough generic comparison to other energy sources, which claims zero emissions for solar installations. No quantitative analysis is provided, and it is asserted that the climate impacts of individual projects are impossible to calculate. Volumes 8-13 cover AZ, CA, CO, NV, NM and UT individually. Climate change is considered in each, but all rely on the same text, which discusses impacts of climate change on regional temperature, precipitation and drought</t>
  </si>
  <si>
    <r>
      <rPr>
        <b/>
        <u val="single"/>
        <sz val="10"/>
        <color indexed="8"/>
        <rFont val="Arial"/>
        <family val="2"/>
      </rPr>
      <t>Impact of climate change on water resources.</t>
    </r>
    <r>
      <rPr>
        <sz val="10"/>
        <color indexed="8"/>
        <rFont val="Arial"/>
        <family val="2"/>
      </rPr>
      <t xml:space="preserve"> A subset of #5, this category encompasses water shortage, drought, flooding, water tables, etc. It does not include sea level rise, nor does it include impacts of the project on water (i.e. water usage, water pollution). </t>
    </r>
  </si>
  <si>
    <t>Cursory mention of emissions from rig operations on leases. No discussion of emissions from eventual refining or combustion of fuels extracted. Substantial discussion of effects of climate change on project sites. Uses the "small fractions of US/global emissions" argument.</t>
  </si>
  <si>
    <t>See EPA comment 3B</t>
  </si>
  <si>
    <t>Note: FEIS contains only comments, errata and revisions from DEIS, which is not available online.</t>
  </si>
  <si>
    <t>Transmission</t>
  </si>
  <si>
    <t>Programmatic: Streamlining the Processing of Experimental Permit Applications, Issuing Experimental Permits for the Launch and Reentry of Useable Suborbital Rockets</t>
  </si>
  <si>
    <t>Parks and Wildlife</t>
  </si>
  <si>
    <t>Mining- Coal</t>
  </si>
  <si>
    <t>Pipelines</t>
  </si>
  <si>
    <t>Programmatic: Toward an Ecosystem Approach for the Western Pacific Region: From Species-Based Fishery Management Plans to Place-Based Fishery Ecosystem Plans, American Samoa, Commonwealth of the Northern Mariana Islands, Hawaii, U.S. Pacific Remote Island</t>
  </si>
  <si>
    <t>Details effects of climate change on the southwest, the landscape of the forest and specific plant and animal species. Includes an appendix devoted to the role of climate change in land management and planning.</t>
  </si>
  <si>
    <t>Revision of Coronado National Forest Land and Resource Management Plan</t>
  </si>
  <si>
    <t>p.183</t>
  </si>
  <si>
    <t>Basing of MV–22 and H–1 Aircraft in Support of III Marine Expeditionary Force (MEF) Elements, Construction and Renovation of Facilities to Accommodate and Maintain the Squadrons</t>
  </si>
  <si>
    <t>Sec. 5 p. 18</t>
  </si>
  <si>
    <t>Includes emissions from aircraft, land vehicle trips and facility operations.</t>
  </si>
  <si>
    <t>Appendix D, page 5-8</t>
  </si>
  <si>
    <t>Considers emissions from construction and operation of the solar project, and induced trips. Does not calculate renewable energy offset</t>
  </si>
  <si>
    <t>Quartzsite Solar Energy Project and Proposed Yuma Field Office Resource Management Plan Amendment</t>
  </si>
  <si>
    <t>Sec. 4 p.71</t>
  </si>
  <si>
    <t>Related to the Operation of Watts Bar Nuclear Plant Units 2</t>
  </si>
  <si>
    <t xml:space="preserve">Considers emissions from operation of the nuclear unit, and the vulnerability of the plant to climate change, especially impacts of temperature and availability of water used for cooling. </t>
  </si>
  <si>
    <t>Programmatic EIS—Outer Continental Shelf Oil and Gas Leasing Program—2012–2017 in Six Planning Area, Western, Central and Eastern Gulf of Mexico, Cook Inlet, the Beaufort Sea, and the Chukchi Sea</t>
  </si>
  <si>
    <t>Considers impact of climate change on sea level rise, storms and their effect on drilling operations. Indirect emissions are not considered.</t>
  </si>
  <si>
    <t>Marks Creek Allotment Management Plans, Proposes to Reauthorize Cattle Term Grazing Permits, Construct Range Improvements, and Restore Riparian Vegetation on three Allotments</t>
  </si>
  <si>
    <t>p.207</t>
  </si>
  <si>
    <t>Analyzes the potential of grazing practices to affect carbon storage in vegetation. Notes the potential of climate change to increase the spread of invasive species.</t>
  </si>
  <si>
    <t>Sec. 5 p. 33</t>
  </si>
  <si>
    <t>Point Thomson Project, Authorization to Construct Industrial Infrastructure and Produce Liquid Hydrocarbon Resources</t>
  </si>
  <si>
    <t>Considers emissions from operation and construction of facilities as well as impacts of climate change on arctic ecosystem and on sea level rise.</t>
  </si>
  <si>
    <t>Muscle Shoals Reservation Redevelopment</t>
  </si>
  <si>
    <t>Considers many potential sources of indirect emissions from construction, power consumption and vehicle trips in a land redevelopment project. Compares emissions from alternatives.</t>
  </si>
  <si>
    <t>Sec. 3.8.2 p100, Sec. 4.8 p. 183</t>
  </si>
  <si>
    <t>Yakima River Basin Integrated Water Resource Management Plan</t>
  </si>
  <si>
    <t>Considers impact of climate change on alternatives and specific species. Mentions but does not quantify emissions from construction activities, judging them to be insignificant.</t>
  </si>
  <si>
    <t>Comprehensive Annual Catch Limit (ACL) Amendment for the South Atlantic Regions</t>
  </si>
  <si>
    <t>p.657</t>
  </si>
  <si>
    <t>Brief mention of emissions from fishing vessels, and effects of climate change on fish species. Nothing is quantified.</t>
  </si>
  <si>
    <t>Beaver Creek Mountain Improvement Project, Improvement to Birds of Prey Racecourse, Widening and Grading the Addition of Women’s Downhill and Giant Slalom Racecourses, New and Replaced Snowmaking Infrastructure</t>
  </si>
  <si>
    <t>Sec. 3 p44.</t>
  </si>
  <si>
    <t>EIS for ski resort expansion considers only the emissions from growth in VMTs due to increased visitor traffic to the resort. Land use change and purchased electricity are not considered.</t>
  </si>
  <si>
    <t>Corporate Average Fuel Economy (CAFE) Standards Passenger Car and Light Trucks Model Years 2017–2025</t>
  </si>
  <si>
    <t>Ch. 5p.1-130, esp. p.36</t>
  </si>
  <si>
    <t>Includes direct and indirect emissions impacts from changes to fuel efficiency standards for cars and light trucks. Very extensive 130-page consideration of impacts of emissions from fuel production and use on all aspects of global climate change. The impact of the proposed standards on global temperature change is calculated. Unusually, the analysis asserts that the proposed action would have a significant impact on total U.S. emissions.</t>
  </si>
  <si>
    <t>R.J. Corman Railroad/Pennsylvania Lines Project, Construction, Operation, and Reactivation to Approximately 20 Miles of Railline in Clearfield and Centre Counties</t>
  </si>
  <si>
    <t>Ch. 3 p.35</t>
  </si>
  <si>
    <t>As noted in the FEIS, the DEIS compares the emissions resulting from the operation of a freight rail line with the emissions from an alternative scenario in which an equivalent amount of freight is moved by rail. Emissions from construction of the rail line are not considered.</t>
  </si>
  <si>
    <t>K Road Moapa Solar Generation Facility, Moapa Band of Paiutes (Tribe), to lease Land up to 50 Years on the Moapa River Indian Reservation for Constructing and Operating a 350MV PV Solar Generating Station and Associated Infrastructure</t>
  </si>
  <si>
    <t>Sec. 4 p.3, p.26</t>
  </si>
  <si>
    <t>Considers the benefits in emissions reductions which could result if the solar project displaces electric generation from nearby coal-fired plants. Emissions from project construction and operation are considered insignificant because they fall below the EPA threshold.</t>
  </si>
  <si>
    <t>Baker Field Office Resource Management Plan, Implementation, Baker, Union, Wallowa, Malheur, Morrow and Umatilla Counties</t>
  </si>
  <si>
    <t>Ch. 4 p.3</t>
  </si>
  <si>
    <t>Considers impacts on carbon storage from land use change, vegetation management, livestock grazing and emissions from vehicles</t>
  </si>
  <si>
    <t>Marine Corps Base Camp Pendleton Project, Basewide Water Infrastructure and Stuart Mesa Bridge Replacement, Implementation, San Diego County</t>
  </si>
  <si>
    <t>P. 3.9-7, p.5-10</t>
  </si>
  <si>
    <t>Compares emissions from project alternatives to overall USN emissions, and finds them insignificant, but describes mitigation measures.</t>
  </si>
  <si>
    <t>Appendix D</t>
  </si>
  <si>
    <t>Taos Resource Management Plan, To Provide Broad-Scale Guidance for the Management of Public Lands and Resource Administered by Taos Field Office</t>
  </si>
  <si>
    <t>p485</t>
  </si>
  <si>
    <t>Outlines the impacts of climate change on New Mexico and on the planning area in general terms, as well as on water, flora and fauna</t>
  </si>
  <si>
    <t>Gnoss Field Airport Project, Proposed Extension to Runway 13/31/</t>
  </si>
  <si>
    <t>p.4-37</t>
  </si>
  <si>
    <t>Like other FAA EISs, makes very brief mention of US aviation emissions, presents them as a percentage of global GHG emissions, and makes no attempt to quantify project-specific emissions</t>
  </si>
  <si>
    <t>Mentions climate impacts on forest health, drought, fire and wildlife habitat</t>
  </si>
  <si>
    <t>p.3-152</t>
  </si>
  <si>
    <t>Lake Tahoe Basin Management Unit South Shore Fuel Reduction and Healthy Forest Restoration</t>
  </si>
  <si>
    <t>p.3-61, 3-89, 3-196</t>
  </si>
  <si>
    <t>Windy Gap Firming Project, Construct a New Water Storage Reservoir to Deliver Water to Front Range and West Slope Communities and Industries</t>
  </si>
  <si>
    <t>Outlines effects of climate change on snowmelt, runoff, and surface and groundwater resources, all of which will affect proposed water supply project</t>
  </si>
  <si>
    <t>p199</t>
  </si>
  <si>
    <t>Amendment 18A to the Fishery Management Plan for the Snapper-Grouper Fishery of the South Atlantic Region, To Limit Participation and Effort in the Black Sea Bass Pot Fishery</t>
  </si>
  <si>
    <t>notes potential effect of the changes to the management plan on emissions from fishing boat trips, and impacts on fish species</t>
  </si>
  <si>
    <t>p154</t>
  </si>
  <si>
    <t>Biomass Power Plant Project, Application for Financial Assistance To Construction 100 Megawatt (MW) Biomass Plant and Related Facilities</t>
  </si>
  <si>
    <t>USDA</t>
  </si>
  <si>
    <t>calculates emissions from biomass combustion, and from fuel truck trips. Does not consider sequestration from feedstock cultivation</t>
  </si>
  <si>
    <t>p105, p123, etc (many brief mentions throughout)</t>
  </si>
  <si>
    <t xml:space="preserve">Considers emissions from park operations and vehicle trips under alternatives, as well as impacts of climate change on ecosystems, water, animal species. </t>
  </si>
  <si>
    <t>Rubicon Trail Easement and Resource Improvement Project, Construction and Operation, Right-of-Way Grant, Eldorado National Forest</t>
  </si>
  <si>
    <t>Ross Lake National Recreation Area Project, General Management Plan</t>
  </si>
  <si>
    <t>p334</t>
  </si>
  <si>
    <t>Very brief mention of impact of forest management on GHG emissions. Project emissions not quantified. Mention of climate change impacts to vegetation</t>
  </si>
  <si>
    <t xml:space="preserve">Considers emissions from construction and operation of new nuclear reactors, as well as induced trips. Considers impact of climate change on water resources needed for reactor cooling. </t>
  </si>
  <si>
    <t>William States Lee III Nuclear Station Units 1 and 2 Combined Licenses (COLs) Application, Constructing and Operating Two New Nuclear Units at the Lee Nuclear Station Site</t>
  </si>
  <si>
    <t>p38</t>
  </si>
  <si>
    <t>Illinois Coastal Management Program, To Preserve, Protect, Restore, and Where Possible, Enhance Coastal Resources in Illinois</t>
  </si>
  <si>
    <t>IL</t>
  </si>
  <si>
    <t>Identifies climate change as an important factor in managing and protecting coastal areas, and considers impacts on great lakes water levels</t>
  </si>
  <si>
    <t>CT</t>
  </si>
  <si>
    <t>p79</t>
  </si>
  <si>
    <t>North Hillside Road Extension on the University of Connecticut Storrs Campus, Hunting Lodge Road</t>
  </si>
  <si>
    <t>Considers emissions from road construction, vehicle trips, purchased electricity and campus operations</t>
  </si>
  <si>
    <t>p281</t>
  </si>
  <si>
    <t>Mentions emissions from coal mining, transport, and end use consumption in power plants, but does not quantify these, judging them insignificant</t>
  </si>
  <si>
    <t>Greens Hollow Coal Lease Tract Project, Proposed Federal Coal Leasing and Subsequent Underground Coal Mining, Funding and Lease Application</t>
  </si>
  <si>
    <t>Appendix E</t>
  </si>
  <si>
    <t>Berths 302–306 American Presidents Line (APL) Container Terminal Project, Construction and Operation, US Army COE Section 10 and Section 103 of the Marine Protection Research and Sanctuaries Act</t>
  </si>
  <si>
    <t>Sec 3-2 p12, p150 and See Appendix</t>
  </si>
  <si>
    <t>Entire appendix devoted to exhaustive consideration of lifecycle greenhouse gas emissions. Finds that project emissions are significant because they exceed NEPA and CEQA baseline levels</t>
  </si>
  <si>
    <t>Gulf of Mexico Outer Continental Shelf (OCS) Oil and Gas Lease Sales: 2012–2017 Western Planning Area Lease Sales</t>
  </si>
  <si>
    <t>Very extensive consideration of climate change impacts on sea level rise, storms and marine species. Calculates GHG emissions from oil exploration and extraction, but does not consider refining or end use</t>
  </si>
  <si>
    <t>p.85-95</t>
  </si>
  <si>
    <t>Deerfield Wind Project, Updated Information, Application for a Land Use Authorization to Construct and Operate a Wind Energy Facility, Special Use Authorization Permit, Green Mountain National Forest</t>
  </si>
  <si>
    <t>Considers displacement of fossil-fueled power generation by wind project, and provides calculations. Considers emissions from project construction and lost forest sequestration</t>
  </si>
  <si>
    <t xml:space="preserve"> </t>
  </si>
  <si>
    <t>p2-167, p.7-16, 7-42,</t>
  </si>
  <si>
    <t>Sec. 5.13, Sec. 14.13</t>
  </si>
  <si>
    <t>Vol. 1, 4-11</t>
  </si>
  <si>
    <t>Ch. 4 p. 200</t>
  </si>
  <si>
    <t>p335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</si>
</sst>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mmm\-yy;@"/>
  </numFmts>
  <fonts count="54">
    <font>
      <sz val="11"/>
      <color theme="1"/>
      <name val="Calibri"/>
      <family val="2"/>
    </font>
    <font>
      <sz val="11"/>
      <color indexed="8"/>
      <name val="Calibri"/>
      <family val="2"/>
    </font>
    <font>
      <u val="single"/>
      <sz val="11"/>
      <color indexed="12"/>
      <name val="Calibri"/>
      <family val="2"/>
    </font>
    <font>
      <sz val="10"/>
      <color indexed="8"/>
      <name val="Arial"/>
      <family val="2"/>
    </font>
    <font>
      <u val="single"/>
      <sz val="10"/>
      <color indexed="12"/>
      <name val="Arial"/>
      <family val="2"/>
    </font>
    <font>
      <sz val="14"/>
      <color indexed="8"/>
      <name val="Arial"/>
      <family val="2"/>
    </font>
    <font>
      <b/>
      <sz val="14"/>
      <color indexed="8"/>
      <name val="Arial"/>
      <family val="2"/>
    </font>
    <font>
      <b/>
      <sz val="10"/>
      <color indexed="8"/>
      <name val="Arial"/>
      <family val="2"/>
    </font>
    <font>
      <i/>
      <sz val="11"/>
      <color indexed="8"/>
      <name val="Calibri"/>
      <family val="2"/>
    </font>
    <font>
      <b/>
      <u val="single"/>
      <sz val="10"/>
      <color indexed="8"/>
      <name val="Arial"/>
      <family val="2"/>
    </font>
    <font>
      <b/>
      <sz val="12"/>
      <color indexed="8"/>
      <name val="Arial"/>
      <family val="2"/>
    </font>
    <font>
      <b/>
      <sz val="10"/>
      <name val="Arial"/>
      <family val="2"/>
    </font>
    <font>
      <b/>
      <sz val="14"/>
      <name val="Arial"/>
      <family val="2"/>
    </font>
    <font>
      <sz val="9"/>
      <color indexed="8"/>
      <name val="Arial"/>
      <family val="2"/>
    </font>
    <font>
      <sz val="8"/>
      <color indexed="8"/>
      <name val="Arial"/>
      <family val="2"/>
    </font>
    <font>
      <b/>
      <sz val="10"/>
      <color indexed="9"/>
      <name val="Arial"/>
      <family val="2"/>
    </font>
    <font>
      <sz val="8"/>
      <name val="Verdan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0"/>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00B050"/>
        <bgColor indexed="64"/>
      </patternFill>
    </fill>
    <fill>
      <patternFill patternType="solid">
        <fgColor theme="1"/>
        <bgColor indexed="64"/>
      </patternFill>
    </fill>
    <fill>
      <patternFill patternType="solid">
        <fgColor rgb="FF92D050"/>
        <bgColor indexed="64"/>
      </patternFill>
    </fill>
    <fill>
      <patternFill patternType="solid">
        <fgColor rgb="FFFFFF00"/>
        <bgColor indexed="64"/>
      </patternFill>
    </fill>
    <fill>
      <patternFill patternType="solid">
        <fgColor theme="3" tint="0.39998000860214233"/>
        <bgColor indexed="64"/>
      </patternFill>
    </fill>
    <fill>
      <patternFill patternType="solid">
        <fgColor rgb="FFCC6600"/>
        <bgColor indexed="64"/>
      </patternFill>
    </fill>
    <fill>
      <patternFill patternType="solid">
        <fgColor rgb="FF66FFFF"/>
        <bgColor indexed="64"/>
      </patternFill>
    </fill>
    <fill>
      <patternFill patternType="solid">
        <fgColor rgb="FFFF0000"/>
        <bgColor indexed="64"/>
      </patternFill>
    </fill>
    <fill>
      <patternFill patternType="solid">
        <fgColor indexed="23"/>
        <bgColor indexed="64"/>
      </patternFill>
    </fill>
    <fill>
      <patternFill patternType="solid">
        <fgColor rgb="FFFFC000"/>
        <bgColor indexed="64"/>
      </patternFill>
    </fill>
    <fill>
      <patternFill patternType="solid">
        <fgColor theme="2" tint="-0.499969989061355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medium"/>
    </border>
    <border>
      <left style="thin"/>
      <right>
        <color indexed="63"/>
      </right>
      <top>
        <color indexed="63"/>
      </top>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5">
    <xf numFmtId="0" fontId="0" fillId="0" borderId="0" xfId="0" applyFont="1" applyAlignment="1">
      <alignment/>
    </xf>
    <xf numFmtId="0" fontId="3" fillId="0" borderId="0" xfId="0" applyFont="1" applyAlignment="1">
      <alignment horizontal="center"/>
    </xf>
    <xf numFmtId="0" fontId="2" fillId="0" borderId="0" xfId="53" applyAlignment="1" applyProtection="1">
      <alignment wrapText="1"/>
      <protection/>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6" fillId="0" borderId="13" xfId="0" applyFont="1" applyBorder="1" applyAlignment="1">
      <alignment horizontal="center" vertical="center"/>
    </xf>
    <xf numFmtId="0" fontId="52" fillId="0" borderId="0" xfId="0" applyFont="1" applyAlignment="1">
      <alignment/>
    </xf>
    <xf numFmtId="0" fontId="10" fillId="0" borderId="12" xfId="0" applyFont="1" applyBorder="1" applyAlignment="1">
      <alignment horizontal="center" vertical="center"/>
    </xf>
    <xf numFmtId="0" fontId="0" fillId="0" borderId="0" xfId="0" applyAlignment="1">
      <alignment horizontal="center" vertical="center"/>
    </xf>
    <xf numFmtId="0" fontId="34" fillId="0" borderId="0" xfId="0" applyFont="1" applyAlignment="1">
      <alignment horizontal="center"/>
    </xf>
    <xf numFmtId="0" fontId="3" fillId="0" borderId="13" xfId="0" applyFont="1" applyBorder="1" applyAlignment="1">
      <alignment horizontal="center" vertical="center"/>
    </xf>
    <xf numFmtId="0" fontId="4" fillId="0" borderId="13" xfId="53" applyFont="1" applyBorder="1" applyAlignment="1" applyProtection="1">
      <alignment horizontal="left" vertical="center" wrapText="1"/>
      <protection/>
    </xf>
    <xf numFmtId="0" fontId="4" fillId="0" borderId="13" xfId="53" applyFont="1" applyBorder="1" applyAlignment="1" applyProtection="1">
      <alignment horizontal="center" vertical="center" wrapText="1"/>
      <protection/>
    </xf>
    <xf numFmtId="0" fontId="3" fillId="0" borderId="13" xfId="0" applyFont="1" applyBorder="1" applyAlignment="1">
      <alignment horizontal="left" vertical="center" wrapText="1"/>
    </xf>
    <xf numFmtId="0" fontId="12" fillId="0" borderId="13" xfId="53" applyFont="1" applyBorder="1" applyAlignment="1" applyProtection="1">
      <alignment horizontal="center" vertical="center" wrapText="1"/>
      <protection/>
    </xf>
    <xf numFmtId="0" fontId="3" fillId="0" borderId="13" xfId="0" applyFont="1" applyBorder="1" applyAlignment="1">
      <alignment horizontal="center"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4" fillId="0" borderId="12" xfId="53" applyFont="1" applyBorder="1" applyAlignment="1" applyProtection="1">
      <alignment horizontal="center" vertical="center" wrapText="1"/>
      <protection/>
    </xf>
    <xf numFmtId="0" fontId="6" fillId="33" borderId="14"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5" fillId="35" borderId="13"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7" fillId="37" borderId="13" xfId="0" applyFont="1" applyFill="1" applyBorder="1" applyAlignment="1">
      <alignment horizontal="center" vertical="center" wrapText="1"/>
    </xf>
    <xf numFmtId="0" fontId="7" fillId="38" borderId="13"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9" borderId="13" xfId="0" applyFont="1" applyFill="1" applyBorder="1" applyAlignment="1">
      <alignment horizontal="center" vertical="center" wrapText="1"/>
    </xf>
    <xf numFmtId="0" fontId="11" fillId="17" borderId="13" xfId="0" applyFont="1" applyFill="1" applyBorder="1" applyAlignment="1">
      <alignment horizontal="center" vertical="center" wrapText="1"/>
    </xf>
    <xf numFmtId="0" fontId="7" fillId="17" borderId="13" xfId="0" applyFont="1" applyFill="1" applyBorder="1" applyAlignment="1">
      <alignment horizontal="center" vertical="center" wrapText="1"/>
    </xf>
    <xf numFmtId="0" fontId="7" fillId="40" borderId="13" xfId="0" applyFont="1" applyFill="1" applyBorder="1" applyAlignment="1">
      <alignment horizontal="center" vertical="center" wrapText="1"/>
    </xf>
    <xf numFmtId="0" fontId="11" fillId="40" borderId="13" xfId="0" applyFont="1" applyFill="1" applyBorder="1" applyAlignment="1">
      <alignment horizontal="center" vertical="center" wrapText="1"/>
    </xf>
    <xf numFmtId="0" fontId="50" fillId="0" borderId="0" xfId="0" applyFont="1" applyAlignment="1">
      <alignment/>
    </xf>
    <xf numFmtId="0" fontId="7" fillId="41" borderId="13" xfId="0" applyFont="1" applyFill="1" applyBorder="1" applyAlignment="1">
      <alignment horizontal="center" vertical="center" wrapText="1"/>
    </xf>
    <xf numFmtId="0" fontId="4" fillId="0" borderId="13" xfId="53" applyFont="1" applyBorder="1" applyAlignment="1" applyProtection="1">
      <alignment vertical="center" wrapText="1"/>
      <protection/>
    </xf>
    <xf numFmtId="0" fontId="0" fillId="0" borderId="0" xfId="0" applyAlignment="1">
      <alignment horizontal="center" wrapText="1"/>
    </xf>
    <xf numFmtId="0" fontId="0" fillId="0" borderId="0" xfId="0" applyAlignment="1">
      <alignment vertical="center" wrapText="1"/>
    </xf>
    <xf numFmtId="0" fontId="7" fillId="9" borderId="13" xfId="0" applyFont="1" applyFill="1" applyBorder="1" applyAlignment="1">
      <alignment horizontal="center" vertical="center" wrapText="1"/>
    </xf>
    <xf numFmtId="0" fontId="11" fillId="9" borderId="13" xfId="0" applyFont="1" applyFill="1" applyBorder="1" applyAlignment="1">
      <alignment horizontal="center" vertical="center" wrapText="1"/>
    </xf>
    <xf numFmtId="0" fontId="7" fillId="42" borderId="13" xfId="0" applyFont="1" applyFill="1" applyBorder="1" applyAlignment="1">
      <alignment horizontal="center" vertical="center" wrapText="1"/>
    </xf>
    <xf numFmtId="0" fontId="11" fillId="42" borderId="13" xfId="0" applyFont="1" applyFill="1" applyBorder="1" applyAlignment="1">
      <alignment horizontal="center" vertical="center" wrapText="1"/>
    </xf>
    <xf numFmtId="0" fontId="3" fillId="0" borderId="13" xfId="0" applyFont="1" applyBorder="1" applyAlignment="1">
      <alignment vertical="center" wrapText="1"/>
    </xf>
    <xf numFmtId="0" fontId="10" fillId="0" borderId="13" xfId="0" applyFont="1" applyBorder="1" applyAlignment="1">
      <alignment horizontal="center" vertical="center"/>
    </xf>
    <xf numFmtId="0" fontId="3" fillId="0" borderId="13" xfId="0" applyFont="1" applyBorder="1" applyAlignment="1">
      <alignment vertical="center"/>
    </xf>
    <xf numFmtId="0" fontId="3" fillId="0" borderId="12" xfId="0" applyFont="1" applyBorder="1" applyAlignment="1">
      <alignment vertical="center" wrapText="1"/>
    </xf>
    <xf numFmtId="0" fontId="6" fillId="0" borderId="14" xfId="0" applyFont="1" applyBorder="1" applyAlignment="1">
      <alignment horizontal="center"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12" fillId="0" borderId="13" xfId="53" applyFont="1" applyBorder="1" applyAlignment="1" applyProtection="1">
      <alignment horizontal="center" vertical="center"/>
      <protection/>
    </xf>
    <xf numFmtId="0" fontId="12" fillId="0" borderId="12" xfId="53" applyFont="1" applyBorder="1" applyAlignment="1" applyProtection="1">
      <alignment horizontal="center" vertical="center" wrapText="1"/>
      <protection/>
    </xf>
    <xf numFmtId="0" fontId="7" fillId="39" borderId="13" xfId="0" applyFont="1" applyFill="1" applyBorder="1" applyAlignment="1">
      <alignment horizontal="center" vertical="center" wrapText="1"/>
    </xf>
    <xf numFmtId="0" fontId="3" fillId="0" borderId="13" xfId="0" applyFont="1" applyBorder="1" applyAlignment="1">
      <alignment horizontal="center" vertical="center"/>
    </xf>
    <xf numFmtId="0" fontId="2" fillId="0" borderId="13" xfId="53" applyBorder="1" applyAlignment="1" applyProtection="1">
      <alignment vertical="center" wrapText="1"/>
      <protection/>
    </xf>
    <xf numFmtId="0" fontId="2" fillId="0" borderId="13" xfId="53" applyBorder="1" applyAlignment="1" applyProtection="1">
      <alignment horizontal="center" wrapText="1"/>
      <protection/>
    </xf>
    <xf numFmtId="0" fontId="4" fillId="0" borderId="0" xfId="53" applyFont="1" applyBorder="1" applyAlignment="1" applyProtection="1">
      <alignment horizontal="center" vertical="center" wrapText="1"/>
      <protection/>
    </xf>
    <xf numFmtId="0" fontId="0" fillId="0" borderId="13" xfId="0" applyBorder="1" applyAlignment="1">
      <alignment horizontal="center" wrapText="1"/>
    </xf>
    <xf numFmtId="0" fontId="2" fillId="0" borderId="13" xfId="53" applyBorder="1" applyAlignment="1" applyProtection="1">
      <alignment horizontal="left" vertical="center" wrapText="1"/>
      <protection/>
    </xf>
    <xf numFmtId="0" fontId="2" fillId="0" borderId="13" xfId="53" applyBorder="1" applyAlignment="1" applyProtection="1">
      <alignment horizontal="center" vertical="center" wrapText="1"/>
      <protection/>
    </xf>
    <xf numFmtId="0" fontId="3" fillId="0" borderId="13" xfId="0" applyFont="1" applyBorder="1" applyAlignment="1">
      <alignment horizontal="center" vertical="center" wrapText="1"/>
    </xf>
    <xf numFmtId="0" fontId="2" fillId="0" borderId="13" xfId="53" applyBorder="1" applyAlignment="1" applyProtection="1">
      <alignment wrapText="1"/>
      <protection/>
    </xf>
    <xf numFmtId="0" fontId="2" fillId="0" borderId="13" xfId="53" applyBorder="1" applyAlignment="1" applyProtection="1">
      <alignment/>
      <protection/>
    </xf>
    <xf numFmtId="17" fontId="4" fillId="0" borderId="13" xfId="53" applyNumberFormat="1" applyFont="1" applyBorder="1" applyAlignment="1" applyProtection="1">
      <alignment horizontal="center" vertical="center" wrapText="1"/>
      <protection/>
    </xf>
    <xf numFmtId="0" fontId="3" fillId="0" borderId="13" xfId="0" applyFont="1" applyFill="1" applyBorder="1" applyAlignment="1">
      <alignment horizontal="center" vertical="center"/>
    </xf>
    <xf numFmtId="0" fontId="0" fillId="0" borderId="13" xfId="0" applyBorder="1" applyAlignment="1">
      <alignment/>
    </xf>
    <xf numFmtId="0" fontId="34" fillId="0" borderId="13" xfId="0" applyFont="1" applyBorder="1" applyAlignment="1">
      <alignment horizontal="center"/>
    </xf>
    <xf numFmtId="0" fontId="53" fillId="0" borderId="13" xfId="0" applyFont="1" applyBorder="1" applyAlignment="1">
      <alignment wrapText="1"/>
    </xf>
    <xf numFmtId="0" fontId="53" fillId="0" borderId="13" xfId="0" applyFont="1" applyBorder="1" applyAlignment="1">
      <alignment horizontal="center" wrapText="1"/>
    </xf>
    <xf numFmtId="0" fontId="6" fillId="33" borderId="17" xfId="0" applyFont="1" applyFill="1" applyBorder="1" applyAlignment="1">
      <alignment horizontal="center" vertical="center" wrapText="1"/>
    </xf>
    <xf numFmtId="0" fontId="7" fillId="43" borderId="13" xfId="0" applyFont="1" applyFill="1" applyBorder="1" applyAlignment="1">
      <alignment horizontal="center" vertical="center" wrapText="1"/>
    </xf>
    <xf numFmtId="0" fontId="11" fillId="15" borderId="13" xfId="0" applyFont="1" applyFill="1" applyBorder="1" applyAlignment="1">
      <alignment horizontal="center" vertical="center" wrapText="1"/>
    </xf>
    <xf numFmtId="0" fontId="11" fillId="16" borderId="13" xfId="0" applyFont="1" applyFill="1" applyBorder="1" applyAlignment="1">
      <alignment horizontal="center" vertical="center" wrapText="1"/>
    </xf>
    <xf numFmtId="0" fontId="7" fillId="44" borderId="13" xfId="0" applyFont="1" applyFill="1" applyBorder="1" applyAlignment="1">
      <alignment horizontal="center" vertical="center" wrapText="1"/>
    </xf>
    <xf numFmtId="0" fontId="11" fillId="44" borderId="13" xfId="0" applyFont="1" applyFill="1" applyBorder="1" applyAlignment="1">
      <alignment horizontal="center" vertical="center" wrapText="1"/>
    </xf>
    <xf numFmtId="0" fontId="0" fillId="0" borderId="13" xfId="0" applyBorder="1" applyAlignment="1">
      <alignment vertical="center" wrapText="1"/>
    </xf>
    <xf numFmtId="0" fontId="2" fillId="0" borderId="0" xfId="53" applyBorder="1" applyAlignment="1" applyProtection="1">
      <alignment vertical="center" wrapText="1"/>
      <protection/>
    </xf>
    <xf numFmtId="0" fontId="0" fillId="0" borderId="13" xfId="0" applyBorder="1" applyAlignment="1">
      <alignment wrapText="1"/>
    </xf>
    <xf numFmtId="0" fontId="50" fillId="0" borderId="13" xfId="0" applyFont="1" applyBorder="1" applyAlignment="1">
      <alignment wrapText="1"/>
    </xf>
    <xf numFmtId="0" fontId="34" fillId="0" borderId="13" xfId="0" applyFont="1" applyBorder="1" applyAlignment="1">
      <alignment horizontal="center" wrapText="1"/>
    </xf>
    <xf numFmtId="0" fontId="2" fillId="0" borderId="0" xfId="53" applyBorder="1" applyAlignment="1" applyProtection="1">
      <alignment horizontal="left" vertical="center" wrapText="1"/>
      <protection/>
    </xf>
    <xf numFmtId="0" fontId="11" fillId="15" borderId="12" xfId="0" applyFont="1" applyFill="1" applyBorder="1" applyAlignment="1">
      <alignment horizontal="center" vertical="center" wrapText="1"/>
    </xf>
    <xf numFmtId="0" fontId="7" fillId="37" borderId="12" xfId="0" applyFont="1" applyFill="1" applyBorder="1" applyAlignment="1">
      <alignment horizontal="center" vertical="center" wrapText="1"/>
    </xf>
    <xf numFmtId="0" fontId="11" fillId="16" borderId="12" xfId="0" applyFont="1" applyFill="1" applyBorder="1" applyAlignment="1">
      <alignment horizontal="center" vertical="center" wrapText="1"/>
    </xf>
    <xf numFmtId="0" fontId="7" fillId="39" borderId="12"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2" fillId="0" borderId="12" xfId="53" applyBorder="1" applyAlignment="1" applyProtection="1">
      <alignment horizontal="left" vertical="center" wrapText="1"/>
      <protection/>
    </xf>
    <xf numFmtId="0" fontId="2" fillId="0" borderId="0" xfId="53" applyBorder="1" applyAlignment="1" applyProtection="1">
      <alignment wrapText="1"/>
      <protection/>
    </xf>
    <xf numFmtId="0" fontId="3" fillId="0" borderId="12" xfId="0" applyFont="1" applyBorder="1" applyAlignment="1">
      <alignment horizontal="left" vertical="center" wrapText="1"/>
    </xf>
    <xf numFmtId="0" fontId="2" fillId="0" borderId="12" xfId="53" applyBorder="1" applyAlignment="1" applyProtection="1">
      <alignment vertical="center" wrapText="1"/>
      <protection/>
    </xf>
    <xf numFmtId="169" fontId="0" fillId="0" borderId="0" xfId="0" applyNumberFormat="1" applyAlignment="1">
      <alignment/>
    </xf>
    <xf numFmtId="169" fontId="5" fillId="0" borderId="0" xfId="0" applyNumberFormat="1" applyFont="1" applyBorder="1" applyAlignment="1">
      <alignment/>
    </xf>
    <xf numFmtId="169" fontId="3" fillId="0" borderId="0" xfId="0" applyNumberFormat="1" applyFont="1" applyAlignment="1">
      <alignment/>
    </xf>
    <xf numFmtId="169" fontId="3" fillId="0" borderId="0" xfId="0" applyNumberFormat="1" applyFont="1" applyBorder="1" applyAlignment="1">
      <alignment/>
    </xf>
    <xf numFmtId="169" fontId="3" fillId="0" borderId="0" xfId="0" applyNumberFormat="1" applyFont="1" applyAlignment="1">
      <alignment/>
    </xf>
    <xf numFmtId="169" fontId="3" fillId="0" borderId="0" xfId="0" applyNumberFormat="1" applyFont="1" applyBorder="1" applyAlignment="1">
      <alignment/>
    </xf>
    <xf numFmtId="169" fontId="3" fillId="0" borderId="18" xfId="0" applyNumberFormat="1" applyFont="1" applyBorder="1" applyAlignment="1">
      <alignment/>
    </xf>
    <xf numFmtId="169" fontId="3" fillId="0" borderId="0" xfId="0" applyNumberFormat="1" applyFont="1" applyAlignment="1">
      <alignment horizontal="right"/>
    </xf>
    <xf numFmtId="169" fontId="3" fillId="0" borderId="0" xfId="0" applyNumberFormat="1" applyFont="1" applyAlignment="1">
      <alignment horizontal="center"/>
    </xf>
    <xf numFmtId="0" fontId="15" fillId="35" borderId="12" xfId="0" applyFont="1" applyFill="1" applyBorder="1" applyAlignment="1">
      <alignment horizontal="center" vertical="center" wrapText="1"/>
    </xf>
    <xf numFmtId="169" fontId="3" fillId="0" borderId="19" xfId="0" applyNumberFormat="1" applyFont="1" applyBorder="1" applyAlignment="1">
      <alignment/>
    </xf>
    <xf numFmtId="169" fontId="0" fillId="0" borderId="0" xfId="0" applyNumberFormat="1" applyBorder="1" applyAlignment="1">
      <alignment/>
    </xf>
    <xf numFmtId="0" fontId="4" fillId="0" borderId="0" xfId="53" applyFont="1" applyBorder="1" applyAlignment="1" applyProtection="1">
      <alignment horizontal="left" vertical="center" wrapText="1"/>
      <protection/>
    </xf>
    <xf numFmtId="17" fontId="0" fillId="0" borderId="13" xfId="0" applyNumberFormat="1" applyBorder="1" applyAlignment="1">
      <alignment horizontal="center" wrapText="1"/>
    </xf>
    <xf numFmtId="0" fontId="7" fillId="9" borderId="12" xfId="0" applyFont="1" applyFill="1" applyBorder="1" applyAlignment="1">
      <alignment horizontal="center" vertical="center" wrapText="1"/>
    </xf>
    <xf numFmtId="0" fontId="12" fillId="0" borderId="0" xfId="53" applyFont="1" applyBorder="1" applyAlignment="1" applyProtection="1">
      <alignment horizontal="center" vertical="center" wrapText="1"/>
      <protection/>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rtoflosangeles.org/EIR/SPWaterfront/FEIR/feir_spwaterfront.asp" TargetMode="External" /><Relationship Id="rId2" Type="http://schemas.openxmlformats.org/officeDocument/2006/relationships/hyperlink" Target="http://nepa.energy.gov/1214.htm" TargetMode="External" /><Relationship Id="rId3" Type="http://schemas.openxmlformats.org/officeDocument/2006/relationships/hyperlink" Target="http://www.fpir.noaa.gov/DIR/dir_public_documents.html" TargetMode="External" /><Relationship Id="rId4" Type="http://schemas.openxmlformats.org/officeDocument/2006/relationships/hyperlink" Target="http://www.fs.fed.us/r6/centraloregon/projects/units/bendrock/exf/index.shtml" TargetMode="External" /><Relationship Id="rId5" Type="http://schemas.openxmlformats.org/officeDocument/2006/relationships/hyperlink" Target="http://www.eddylsrproject.com/final_eis.htm" TargetMode="External" /><Relationship Id="rId6" Type="http://schemas.openxmlformats.org/officeDocument/2006/relationships/hyperlink" Target="http://www.fs.fed.us/r1/kootenai/projects/projects/miller-west-fisher/index.shtml" TargetMode="External" /><Relationship Id="rId7" Type="http://schemas.openxmlformats.org/officeDocument/2006/relationships/hyperlink" Target="http://fs.usda.gov/wps/portal/fsinternet/!ut/p/c4/04_SB8K8xLLM9MSSzPy8xBz9CP0os3gDfxMDT8MwRydLA1cj72BTMwMTAwjQL8h2VAQArb-_RA!!/?ss=110913&amp;navtype=BROWSEBYSUBJECT&amp;navid=130110000000000&amp;pnavid=130000000000000&amp;accessDB=true&amp;position=Project*&amp;groupid=21451&amp;tt" TargetMode="External" /><Relationship Id="rId8" Type="http://schemas.openxmlformats.org/officeDocument/2006/relationships/hyperlink" Target="http://fs.usda.gov/wps/portal/fsinternet/!ut/p/c4/04_SB8K8xLLM9MSSzPy8xBz9CP0os3gDfxMDT8MwRydLA1cj72BTMwMTAwjQL8h2VAQArb-_RA!!/?ss=110514&amp;navtype=BROWSEBYSUBJECT&amp;navid=130110000000000&amp;pnavid=130000000000000&amp;accessDB=true&amp;position=Project*&amp;groupid=14459&amp;tt" TargetMode="External" /><Relationship Id="rId9" Type="http://schemas.openxmlformats.org/officeDocument/2006/relationships/hyperlink" Target="http://deq.mt.gov/eis.mcpx" TargetMode="External" /><Relationship Id="rId10" Type="http://schemas.openxmlformats.org/officeDocument/2006/relationships/hyperlink" Target="http://www.blm.gov/nv/st/en/fo/ely_field_office/blm_programs/minerals/mining_projects/final_environmental.html" TargetMode="External" /><Relationship Id="rId11" Type="http://schemas.openxmlformats.org/officeDocument/2006/relationships/hyperlink" Target="http://www.fws.gov/nevada/highlights/comment/slc/index.htm" TargetMode="External" /><Relationship Id="rId12" Type="http://schemas.openxmlformats.org/officeDocument/2006/relationships/hyperlink" Target="http://www.portoflosangeles.org/EIR/ChanDeep/FEIR/feir_chandeep.asp" TargetMode="External" /><Relationship Id="rId13" Type="http://schemas.openxmlformats.org/officeDocument/2006/relationships/hyperlink" Target="http://www.epa.gov/region8/compliance/nepa/refineryfeis.html" TargetMode="External" /><Relationship Id="rId14" Type="http://schemas.openxmlformats.org/officeDocument/2006/relationships/hyperlink" Target="http://fs.usda.gov/wps/portal/fsinternet/!ut/p/c4/04_SB8K8xLLM9MSSzPy8xBz9CP0os3gDfxMDT8MwRydLA1cj72BTMwMTAwjQL8h2VAQArb-_RA!!/?ss=110514&amp;navtype=BROWSEBYSUBJECT&amp;navid=130110000000000&amp;pnavid=130000000000000&amp;accessDB=true&amp;position=Project*&amp;groupid=24233&amp;tt" TargetMode="External" /><Relationship Id="rId15" Type="http://schemas.openxmlformats.org/officeDocument/2006/relationships/hyperlink" Target="http://www.lvstudies.com/documents.asp" TargetMode="External" /><Relationship Id="rId16" Type="http://schemas.openxmlformats.org/officeDocument/2006/relationships/hyperlink" Target="http://www.nws.usace.army.mil/PublicMenu/Menu.cfm?sitename=DMMO&amp;pagename=CB_SEIS" TargetMode="External" /><Relationship Id="rId17" Type="http://schemas.openxmlformats.org/officeDocument/2006/relationships/hyperlink" Target="http://www.tva.gov/environment/reports/sqn-renewal/seis/chapter_3.pdf" TargetMode="External" /><Relationship Id="rId18" Type="http://schemas.openxmlformats.org/officeDocument/2006/relationships/hyperlink" Target="http://www.tva.gov/environment/reports/sqn-renewal/index.htm" TargetMode="External" /><Relationship Id="rId19" Type="http://schemas.openxmlformats.org/officeDocument/2006/relationships/hyperlink" Target="http://energy.gov/nepa/downloads/mountaineer-commercial-scale-carbon-capture-and-storage-project-draft-environmental-0" TargetMode="External" /><Relationship Id="rId20" Type="http://schemas.openxmlformats.org/officeDocument/2006/relationships/hyperlink" Target="http://www.bracpmo.navy.mil/base_docs/hps/documents/enviro_docs/HPS_DraftSEIS_CH4-EnvironmentalConsequences.pdf" TargetMode="External" /><Relationship Id="rId21" Type="http://schemas.openxmlformats.org/officeDocument/2006/relationships/hyperlink" Target="http://www.bracpmo.navy.mil/basepage.aspx?baseid=45&amp;state=California&amp;name=hps" TargetMode="External" /><Relationship Id="rId22" Type="http://schemas.openxmlformats.org/officeDocument/2006/relationships/hyperlink" Target="http://energy.gov/sites/prod/files/nepapub/nepa_documents/RedDont/EIS-0445-DEIS-01-2011.pdf" TargetMode="External" /><Relationship Id="rId23" Type="http://schemas.openxmlformats.org/officeDocument/2006/relationships/hyperlink" Target="http://energy.gov/sites/prod/files/nepapub/nepa_documents/RedDont/EIS-0407-FEIS-01-2010.pdf" TargetMode="External" /><Relationship Id="rId24" Type="http://schemas.openxmlformats.org/officeDocument/2006/relationships/hyperlink" Target="http://energy.gov/sites/prod/files/nepapub/nepa_documents/RedDont/EIS-0407-FEIS-01-2010.pdf" TargetMode="External" /><Relationship Id="rId25" Type="http://schemas.openxmlformats.org/officeDocument/2006/relationships/hyperlink" Target="http://energy.gov/sites/prod/files/nepapub/nepa_documents/RedDont/EIS-0416-FEIS-2010.pdf" TargetMode="External" /><Relationship Id="rId26" Type="http://schemas.openxmlformats.org/officeDocument/2006/relationships/hyperlink" Target="http://www.blm.gov/pgdata/etc/medialib/blm/ca/pdf/needles/lands_solar.Par.20589.File.dat/2-4_0_Affected_Environment_and_Environmental_Consequences.pdf" TargetMode="External" /><Relationship Id="rId27" Type="http://schemas.openxmlformats.org/officeDocument/2006/relationships/hyperlink" Target="http://energy.gov/nepa/downloads/final-environmental-impact-statement-south-dakota-prairiewinds-project-doeeis-0418" TargetMode="External" /><Relationship Id="rId28" Type="http://schemas.openxmlformats.org/officeDocument/2006/relationships/hyperlink" Target="http://energy.gov/sites/prod/files/EIS-0449-FEIS-01-2010.pdf" TargetMode="External" /><Relationship Id="rId29" Type="http://schemas.openxmlformats.org/officeDocument/2006/relationships/hyperlink" Target="http://energy.gov/sites/prod/files/EIS-0449-FEIS-01-2010.pdf" TargetMode="External" /><Relationship Id="rId30" Type="http://schemas.openxmlformats.org/officeDocument/2006/relationships/hyperlink" Target="http://energy.gov/sites/prod/files/EIS-0449-FEIS-01-2010.pdf" TargetMode="External" /><Relationship Id="rId31" Type="http://schemas.openxmlformats.org/officeDocument/2006/relationships/hyperlink" Target="http://energy.gov/nepa/downloads/eis-0455-final-environmental-impact-statement-volume-1" TargetMode="External" /><Relationship Id="rId32" Type="http://schemas.openxmlformats.org/officeDocument/2006/relationships/hyperlink" Target="http://energy.gov/sites/prod/files/nepapub/nepa_documents/RedDont/EIS-0455-FEIS-01-2010.pdf" TargetMode="External" /><Relationship Id="rId33" Type="http://schemas.openxmlformats.org/officeDocument/2006/relationships/hyperlink" Target="http://energy.gov/sites/prod/files/nepapub/nepa_documents/RedDont/EIS-0387-FEIS-01-2011.pdf" TargetMode="External" /><Relationship Id="rId34" Type="http://schemas.openxmlformats.org/officeDocument/2006/relationships/hyperlink" Target="http://energy.gov/sites/prod/files/nepapub/nepa_documents/RedDont/EIS-0387-FEIS-01-2011.pdf" TargetMode="External" /><Relationship Id="rId35" Type="http://schemas.openxmlformats.org/officeDocument/2006/relationships/hyperlink" Target="http://energy.gov/sites/prod/files/EIS-0454-FEIS-2011.pdf" TargetMode="External" /><Relationship Id="rId36" Type="http://schemas.openxmlformats.org/officeDocument/2006/relationships/hyperlink" Target="http://energy.gov/sites/prod/files/nepapub/nepa_documents/RedDont/EIS-0422-DEIS-2010.pdf" TargetMode="External" /><Relationship Id="rId37" Type="http://schemas.openxmlformats.org/officeDocument/2006/relationships/hyperlink" Target="http://energy.gov/sites/prod/files/EIS-0444-FEIS-2011_0.pdf" TargetMode="External" /><Relationship Id="rId38" Type="http://schemas.openxmlformats.org/officeDocument/2006/relationships/hyperlink" Target="http://energy.gov/nepa/downloads/eis-0423-final-environmental-impact-statement-volume-1" TargetMode="External" /><Relationship Id="rId39" Type="http://schemas.openxmlformats.org/officeDocument/2006/relationships/hyperlink" Target="http://energy.gov/sites/prod/files/EIS-0448-FEIS-02-2011.pdf" TargetMode="External" /><Relationship Id="rId40" Type="http://schemas.openxmlformats.org/officeDocument/2006/relationships/hyperlink" Target="http://energy.gov/sites/prod/files/nepapub/nepa_documents/RedDont/EIS-0468-FEIS-2011.pdf" TargetMode="External" /><Relationship Id="rId41" Type="http://schemas.openxmlformats.org/officeDocument/2006/relationships/hyperlink" Target="http://energy.gov/sites/prod/files/EIS-0471-FEIS-2011_0.pdf" TargetMode="External" /><Relationship Id="rId42" Type="http://schemas.openxmlformats.org/officeDocument/2006/relationships/hyperlink" Target="http://www.boemre.gov/5-year/2007-2012FEIS/Chapter4A-BImpactsProposedAction.pdf" TargetMode="External" /><Relationship Id="rId43" Type="http://schemas.openxmlformats.org/officeDocument/2006/relationships/hyperlink" Target="http://www.blm.gov/pgdata/etc/medialib/blm/id/nepa/pocatello/blackfoot_mine_feis.Par.57135.File.dat/BFB%20FEIS%20Front%20Matter%20(2-25-11).pdf" TargetMode="External" /><Relationship Id="rId44" Type="http://schemas.openxmlformats.org/officeDocument/2006/relationships/hyperlink" Target="http://www.blm.gov/pgdata/etc/medialib/blm/ca/pdf/Barstow/calico_feis.Par.17665.File.dat/Calico-FEIS-Index.pdf" TargetMode="External" /><Relationship Id="rId45" Type="http://schemas.openxmlformats.org/officeDocument/2006/relationships/hyperlink" Target="http://www.cpuc.ca.gov/environment/info/dudek/ECOSUB/Draft_EIR/D-18_ClimateChange.pdf" TargetMode="External" /><Relationship Id="rId46" Type="http://schemas.openxmlformats.org/officeDocument/2006/relationships/hyperlink" Target="http://www.blm.gov/or/districts/prineville/plans/files/wbw_power_row_final_EIS.pdf" TargetMode="External" /><Relationship Id="rId47" Type="http://schemas.openxmlformats.org/officeDocument/2006/relationships/hyperlink" Target="https://www.blm.gov/ut/enbb/files/9__Chapter_4.pdf" TargetMode="External" /><Relationship Id="rId48" Type="http://schemas.openxmlformats.org/officeDocument/2006/relationships/hyperlink" Target="http://www.coloradodot.info/projects/i-70mountaincorridor/final-peis/final-peis-documents/individual-files/09_Chapter_4_Rev50.pdf" TargetMode="External" /><Relationship Id="rId49" Type="http://schemas.openxmlformats.org/officeDocument/2006/relationships/hyperlink" Target="http://apps.roads.maryland.gov/Webprojectlifecycle/AT198_11/htdocs/Documents/EIS/09%20-%20FEIS%20Section%20IV%20-%20Environmental%20Consequences.pdf" TargetMode="External" /><Relationship Id="rId50" Type="http://schemas.openxmlformats.org/officeDocument/2006/relationships/hyperlink" Target="http://www.circeis.org/documents/feis/FEIS%20Main%20Document/Chapter%2015.pdf" TargetMode="External" /><Relationship Id="rId51" Type="http://schemas.openxmlformats.org/officeDocument/2006/relationships/hyperlink" Target="http://www.wsdot.wa.gov/Projects/Viaduct/library-environmental.htm#2011feis" TargetMode="External" /><Relationship Id="rId52" Type="http://schemas.openxmlformats.org/officeDocument/2006/relationships/hyperlink" Target="http://www.dot.state.wy.us/webdav/site/wydot/shared/Environmental_Services/Jackson%20South/FEIS.pdf" TargetMode="External" /><Relationship Id="rId53" Type="http://schemas.openxmlformats.org/officeDocument/2006/relationships/hyperlink" Target="http://yukonflatseis.ensr.com/Yukon.data/Docs/FEIS/Volume_1/10_Chapter_4_FEIS_(Feb_2010).pdf" TargetMode="External" /><Relationship Id="rId54" Type="http://schemas.openxmlformats.org/officeDocument/2006/relationships/hyperlink" Target="http://www.southcapitoleis.com/pdfs/eis/final/02_chapters/Ch_04_Environmental_Consequences.pdf" TargetMode="External" /><Relationship Id="rId55" Type="http://schemas.openxmlformats.org/officeDocument/2006/relationships/hyperlink" Target="http://www.ferc.gov/industries/gas/enviro/eis/2010/07-23-10.asp" TargetMode="External" /><Relationship Id="rId56" Type="http://schemas.openxmlformats.org/officeDocument/2006/relationships/hyperlink" Target="http://www.keystonepipeline-xl.state.gov/clientsite/keystonexl.nsf/20_KXL_FEIS_Sec_3.14_Cumulative_Impacts.pdf?OpenFileResource" TargetMode="External" /><Relationship Id="rId57" Type="http://schemas.openxmlformats.org/officeDocument/2006/relationships/hyperlink" Target="http://www.blm.gov/pgdata/etc/medialib/blm/wy/information/NEPA/hpdo/Wright-Coal/feis.Par.67516.File.dat/07chap3.pdf" TargetMode="External" /><Relationship Id="rId58" Type="http://schemas.openxmlformats.org/officeDocument/2006/relationships/hyperlink" Target="http://www.blm.gov/pgdata/etc/medialib/blm/ut/price_fo/oil_and_gas_2.Par.31304.File.dat/Chapter%204%20WTP%20FEIS%5b1%5d.pdf" TargetMode="External" /><Relationship Id="rId59" Type="http://schemas.openxmlformats.org/officeDocument/2006/relationships/hyperlink" Target="http://pbadupws.nrc.gov/docs/ML1021/ML102100371.pdf" TargetMode="External" /><Relationship Id="rId60" Type="http://schemas.openxmlformats.org/officeDocument/2006/relationships/hyperlink" Target="http://www.gomr.boemre.gov/PDFs/2011/2011-034-v1.pdf" TargetMode="External" /><Relationship Id="rId61" Type="http://schemas.openxmlformats.org/officeDocument/2006/relationships/hyperlink" Target="http://efw.bpa.gov/environmental_services/Document_Library/Big_Eddy-Knight/pdf/BEK_FEIS_Volume1.pdf" TargetMode="External" /><Relationship Id="rId62" Type="http://schemas.openxmlformats.org/officeDocument/2006/relationships/hyperlink" Target="http://www.vhb.com/pvd/eis/pdf/feis/PVD_FEIS_VOLUME_1_FEIS_CHAPTERS_06102011.pdf" TargetMode="External" /><Relationship Id="rId63" Type="http://schemas.openxmlformats.org/officeDocument/2006/relationships/hyperlink" Target="http://projects.soundtransit.org/Documents/pdf/projects/eastlink/EIS_2011/05_Chapter4-6_AirQualityandGreenhouseGasses.pdf" TargetMode="External" /><Relationship Id="rId64" Type="http://schemas.openxmlformats.org/officeDocument/2006/relationships/hyperlink" Target="http://www.spk.usace.army.mil/organizations/cespk-co/regulatory/EISs/200900511-Sunridge%20Properties-Final-EIS/200900511-FEIS-Volume-I.pdf" TargetMode="External" /><Relationship Id="rId65" Type="http://schemas.openxmlformats.org/officeDocument/2006/relationships/hyperlink" Target="http://www.spk.usace.army.mil/organizations/cespk-co/regulatory/RioDelOro/DEIR/Air_Quality.pdf" TargetMode="External" /><Relationship Id="rId66" Type="http://schemas.openxmlformats.org/officeDocument/2006/relationships/hyperlink" Target="http://ftp.folsom.ca.us/soi/Folsom_DEIR-DEIS_DRAFT.pdf" TargetMode="External" /><Relationship Id="rId67" Type="http://schemas.openxmlformats.org/officeDocument/2006/relationships/hyperlink" Target="http://ww2.wapa.gov/sites/western/transmission/interconn/Documents/groton/DOE%20EIS%200435_2.pdf" TargetMode="External" /><Relationship Id="rId68" Type="http://schemas.openxmlformats.org/officeDocument/2006/relationships/hyperlink" Target="http://pbadupws.nrc.gov/docs/ML1113/ML11131A001.pdf" TargetMode="External" /><Relationship Id="rId69" Type="http://schemas.openxmlformats.org/officeDocument/2006/relationships/hyperlink" Target="http://www.phl-cep-eis.com/pdfs/feis/Final_FEIS_ch5_md_080910.pdf" TargetMode="External" /><Relationship Id="rId70" Type="http://schemas.openxmlformats.org/officeDocument/2006/relationships/hyperlink" Target="http://www.fra.dot.gov/rpd/downloads/DesertXpress_Final_EIS_Chapter_3_Affected_Env_and_Env_Consequences.pdf" TargetMode="External" /><Relationship Id="rId71" Type="http://schemas.openxmlformats.org/officeDocument/2006/relationships/hyperlink" Target="http://www.nrc.gov/reading-rm/doc-collections/nuregs/staff/sr1947/sr1947.pdf" TargetMode="External" /><Relationship Id="rId72" Type="http://schemas.openxmlformats.org/officeDocument/2006/relationships/hyperlink" Target="http://docs.cpuc.ca.gov/environ/tehachapi_renewables/FinalEIS/TRTP%20Final%20EIS/FEIS/body/3-3_AirQuality.pdf" TargetMode="External" /><Relationship Id="rId73" Type="http://schemas.openxmlformats.org/officeDocument/2006/relationships/hyperlink" Target="http://www.blm.gov/pgdata/etc/medialib/blm/nv/field_offices/ely_field_office/energy_projects/eydo_online_xmission/online_text_volumes.Par.98722.File.dat/09%20ON%20Line%20FEIS%20Chapter%204.pdf" TargetMode="External" /><Relationship Id="rId74" Type="http://schemas.openxmlformats.org/officeDocument/2006/relationships/hyperlink" Target="http://www.blm.gov/pgdata/etc/medialib/blm/nv/field_offices/ely_field_office/energy_projects/eydo_online_xmission/online_text_volumes.Par.46710.File.dat/10%20ON%20Line%20FEIS%20Chapter%205.pdf" TargetMode="External" /><Relationship Id="rId75" Type="http://schemas.openxmlformats.org/officeDocument/2006/relationships/hyperlink" Target="http://www.wsdot.wa.gov/NR/rdonlyres/A59D08B8-C9CF-4ED9-BDCC-1B468D45A8A5/0/FEIS_Chapter5Part5.pdf" TargetMode="External" /><Relationship Id="rId76" Type="http://schemas.openxmlformats.org/officeDocument/2006/relationships/hyperlink" Target="http://www.wsdot.wa.gov/NR/rdonlyres/AC8E6A76-7578-4589-A651-FD9B2E1BD2FB/0/FEIS_Chapter6.pdf" TargetMode="External" /><Relationship Id="rId77" Type="http://schemas.openxmlformats.org/officeDocument/2006/relationships/hyperlink" Target="http://www.mrgo.gov/ProductList.aspx?ProdType=study&amp;folder=1320" TargetMode="External" /><Relationship Id="rId78" Type="http://schemas.openxmlformats.org/officeDocument/2006/relationships/hyperlink" Target="http://www.usbr.gov/mp/nepa/documentShow.cfm?Doc_ID=6816" TargetMode="External" /><Relationship Id="rId79" Type="http://schemas.openxmlformats.org/officeDocument/2006/relationships/hyperlink" Target="http://gomexrangecomplexeis.com/Documents/GOMEX_Range_Complex_Final_EIS_OEIS_Vol_1.pdf" TargetMode="External" /><Relationship Id="rId80" Type="http://schemas.openxmlformats.org/officeDocument/2006/relationships/hyperlink" Target="http://files.dnr.state.mn.us/input/environmentalreview/keetac/final_eis/keetac_mine_expanion_feis.pdf" TargetMode="External" /><Relationship Id="rId81" Type="http://schemas.openxmlformats.org/officeDocument/2006/relationships/hyperlink" Target="http://www.blm.gov/pgdata/etc/medialib/blm/wy/information/NEPA/cfodocs/haycreekii/feis.Par.88691.File.dat/00FEIS.pdf" TargetMode="External" /><Relationship Id="rId82" Type="http://schemas.openxmlformats.org/officeDocument/2006/relationships/hyperlink" Target="http://a123.g.akamai.net/7/123/11558/abc123/forestservic.download.akamai.com/11558/www/nepa/61203_FSPLT2_028115.pdf" TargetMode="External" /><Relationship Id="rId83" Type="http://schemas.openxmlformats.org/officeDocument/2006/relationships/hyperlink" Target="http://a123.g.akamai.net/7/123/11558/abc123/forestservic.download.akamai.com/11558/www/nepa/42255_FSPLT2_027634.pdf" TargetMode="External" /><Relationship Id="rId84" Type="http://schemas.openxmlformats.org/officeDocument/2006/relationships/hyperlink" Target="http://a123.g.akamai.net/7/123/11558/abc123/forestservic.download.akamai.com/11558/www/nepa/54744_FSPLT2_055136.pdf" TargetMode="External" /><Relationship Id="rId85" Type="http://schemas.openxmlformats.org/officeDocument/2006/relationships/hyperlink" Target="http://www.coloradodot.info/projects/north-i-25-eis/Final-EIS/documents/Main-Text/3.21_Energy_FEIS_2011-08.pdf" TargetMode="External" /><Relationship Id="rId86" Type="http://schemas.openxmlformats.org/officeDocument/2006/relationships/hyperlink" Target="http://www.coloradodot.info/projects/north-i-25-eis/Final-EIS/documents/Main-Text/3.26_Cumulative%20Impacts_FEIS_2011-08.pdf" TargetMode="External" /><Relationship Id="rId87" Type="http://schemas.openxmlformats.org/officeDocument/2006/relationships/hyperlink" Target="http://www.cpuc.ca.gov/environment/info/dudek/ECOSUB/Final_EIR/D.18_Climate_Change.pdf" TargetMode="External" /><Relationship Id="rId88" Type="http://schemas.openxmlformats.org/officeDocument/2006/relationships/hyperlink" Target="http://www.columbiarivercrossing.org/FileLibrary/FINAL_EIS_PDFs/CRC_FEIS_Chapter3_S19_Cumulative_Effects.pdf" TargetMode="External" /><Relationship Id="rId89" Type="http://schemas.openxmlformats.org/officeDocument/2006/relationships/hyperlink" Target="http://www.metro.net/projects_studies/crenshaw/images/FEIS_FEIR/4.0_Affected_Environment_Part3.pdf" TargetMode="External" /><Relationship Id="rId90" Type="http://schemas.openxmlformats.org/officeDocument/2006/relationships/hyperlink" Target="http://www.gulfcouncil.org/docs/amendments/Final%20Final_Spiny_Lobster_Amendment_10_August_11.pdf" TargetMode="External" /><Relationship Id="rId91" Type="http://schemas.openxmlformats.org/officeDocument/2006/relationships/hyperlink" Target="https://fs.usda.gov/Internet/FSE_DOCUMENTS/stelprdb5324112.pdf" TargetMode="External" /><Relationship Id="rId92" Type="http://schemas.openxmlformats.org/officeDocument/2006/relationships/hyperlink" Target="http://www.nhtsa.gov/staticfiles/rulemaking/pdf/cafe/FEIS-MedHD.pdf" TargetMode="External" /><Relationship Id="rId93" Type="http://schemas.openxmlformats.org/officeDocument/2006/relationships/hyperlink" Target="http://pbadupws.nrc.gov/docs/ML1112/ML11129A167.pdf" TargetMode="External" /><Relationship Id="rId94" Type="http://schemas.openxmlformats.org/officeDocument/2006/relationships/hyperlink" Target="http://www.blm.gov/pgdata/etc/medialib/blm/ca/pdf/palmsprings/Palen_Solar_Power_Project.Par.98678.File.dat/Vol1_Palen%20PA-FEIS_ch4.pdf" TargetMode="External" /><Relationship Id="rId95" Type="http://schemas.openxmlformats.org/officeDocument/2006/relationships/hyperlink" Target="http://www.stbportmacraileis.com/pdf/final/individual_chapters/16_0_Cumulative_Impacts.pdf" TargetMode="External" /><Relationship Id="rId96" Type="http://schemas.openxmlformats.org/officeDocument/2006/relationships/hyperlink" Target="http://www.pbia-eis.com/pdf/final-eis/Chapter%205.0.pdf" TargetMode="External" /><Relationship Id="rId97" Type="http://schemas.openxmlformats.org/officeDocument/2006/relationships/hyperlink" Target="http://www.nrc.gov/reading-rm/doc-collections/nuregs/staff/sr1910/s2/sr1910s2.pdf" TargetMode="External" /><Relationship Id="rId98" Type="http://schemas.openxmlformats.org/officeDocument/2006/relationships/hyperlink" Target="http://pbadupws.nrc.gov/docs/ML1035/ML103560149.pdf" TargetMode="External" /><Relationship Id="rId99" Type="http://schemas.openxmlformats.org/officeDocument/2006/relationships/hyperlink" Target="http://www.blm.gov/pgdata/etc/medialib/blm/nv/field_offices/battle_mountain_field/blm_information/nepa/cortez_hills_final.Par.44277.File.dat/g_Sect_3-10_through_Chapter_8.pdf" TargetMode="External" /><Relationship Id="rId100" Type="http://schemas.openxmlformats.org/officeDocument/2006/relationships/hyperlink" Target="http://a123.g.akamai.net/7/123/11558/abc123/forestservic.download.akamai.com/11558/www/nepa/52579_FSPLT2_024654.pdf" TargetMode="External" /><Relationship Id="rId101" Type="http://schemas.openxmlformats.org/officeDocument/2006/relationships/hyperlink" Target="http://library.oregonmetro.gov/files/5_ch3_environmental_analysis_and_consequences.pdf" TargetMode="External" /><Relationship Id="rId102" Type="http://schemas.openxmlformats.org/officeDocument/2006/relationships/hyperlink" Target="http://nrs.fs.fed.us/ef/locations/wv/fernow/EIS/resources/Final_EIS_Fernow_Exp_Forest_04Oct.pdf" TargetMode="External" /><Relationship Id="rId103" Type="http://schemas.openxmlformats.org/officeDocument/2006/relationships/hyperlink" Target="http://www.nrc.gov/reading-rm/doc-collections/nuregs/staff/sr1910/s1/sr1910s1.pdf" TargetMode="External" /><Relationship Id="rId104" Type="http://schemas.openxmlformats.org/officeDocument/2006/relationships/hyperlink" Target="http://www.guambuildupeis.us/documents/final/volume_7/Vol_07_Ch04_Cumulative_Impacts.pdf" TargetMode="External" /><Relationship Id="rId105" Type="http://schemas.openxmlformats.org/officeDocument/2006/relationships/hyperlink" Target="http://www.blm.gov/pgdata/etc/medialib/blm/az/pdfs/energy/sonoran-solar/feis.Par.54905.File.dat/09Chapt4.pdf" TargetMode="External" /><Relationship Id="rId106" Type="http://schemas.openxmlformats.org/officeDocument/2006/relationships/hyperlink" Target="http://pbadupws.nrc.gov/docs/ML1121/ML11213A024.pdf" TargetMode="External" /><Relationship Id="rId107" Type="http://schemas.openxmlformats.org/officeDocument/2006/relationships/hyperlink" Target="http://www.tva.gov/environment/reports/nrp/pdf/finals/nrp_feis_chapter_5.pdf" TargetMode="External" /><Relationship Id="rId108" Type="http://schemas.openxmlformats.org/officeDocument/2006/relationships/hyperlink" Target="http://pbadupws.nrc.gov/docs/ML1109/ML11098A044.pdf" TargetMode="External" /><Relationship Id="rId109" Type="http://schemas.openxmlformats.org/officeDocument/2006/relationships/hyperlink" Target="http://www.hayscountyhcp.com/docs/BP031334%20FINAL%20EIS%20Hays%20County%20RHCP%20May%201%202010.pdf" TargetMode="External" /><Relationship Id="rId110" Type="http://schemas.openxmlformats.org/officeDocument/2006/relationships/hyperlink" Target="http://www.nellis.af.mil/shared/media/document/AFD-080404-038.pdf" TargetMode="External" /><Relationship Id="rId111" Type="http://schemas.openxmlformats.org/officeDocument/2006/relationships/hyperlink" Target="http://www.sfcta.org/images/stories/CapitalProjects/YBI_ramps_web_downloads/volume_1_ybi_final_eir_eis_through_appendix_g.pdf" TargetMode="External" /><Relationship Id="rId112" Type="http://schemas.openxmlformats.org/officeDocument/2006/relationships/hyperlink" Target="http://www.blm.gov/pgdata/etc/medialib/blm/az/pdfs/withdraw/feis.Par.32169.File.dat/10_Chapter-4.pdf" TargetMode="External" /><Relationship Id="rId113" Type="http://schemas.openxmlformats.org/officeDocument/2006/relationships/hyperlink" Target="http://www.silverstrandtrainingcomplexeis.com/Documents/000_SSTC_Final_EIS_Vol1_20101216.pdf" TargetMode="External" /><Relationship Id="rId114" Type="http://schemas.openxmlformats.org/officeDocument/2006/relationships/hyperlink" Target="http://www.seattlehousing.org/redevelopment/pdf/YT_FEIS.pdf" TargetMode="External" /><Relationship Id="rId115" Type="http://schemas.openxmlformats.org/officeDocument/2006/relationships/hyperlink" Target="http://aec.army.mil/usaec/nepa/cab-final-peis_2010.pdf" TargetMode="External" /><Relationship Id="rId116" Type="http://schemas.openxmlformats.org/officeDocument/2006/relationships/hyperlink" Target="http://parkplanning.nps.gov/document.cfm?parkID=68&amp;projectID=12099&amp;documentID=36416" TargetMode="External" /><Relationship Id="rId117" Type="http://schemas.openxmlformats.org/officeDocument/2006/relationships/hyperlink" Target="http://a123.g.akamai.net/7/123/11558/abc123/forestservic.download.akamai.com/11558/www/nepa/50537_FSPLT2_035259.pdf" TargetMode="External" /><Relationship Id="rId118" Type="http://schemas.openxmlformats.org/officeDocument/2006/relationships/hyperlink" Target="http://www.blm.gov/pgdata/etc/medialib/blm/nv/field_offices/las_vegas_field_office/energy/nextlight_-_other/FEIS_FedReg_NOA.Par.21644.File.dat/Silver%20State%20Solar%20FEIS%20Volume%20I.pdf" TargetMode="External" /><Relationship Id="rId119" Type="http://schemas.openxmlformats.org/officeDocument/2006/relationships/hyperlink" Target="http://www.madera-county.com/engineering/pdf/2010WSEP/MID_FSEIR_Nov2010.pdf" TargetMode="External" /><Relationship Id="rId120" Type="http://schemas.openxmlformats.org/officeDocument/2006/relationships/hyperlink" Target="http://www.nwk.usace.army.mil/regulatory/Dredging/MO/FEIS2011/FEIS04.14.pdf" TargetMode="External" /><Relationship Id="rId121" Type="http://schemas.openxmlformats.org/officeDocument/2006/relationships/hyperlink" Target="http://www.rtd-fastracks.com/media/uploads/nm/FEIS_Chapter_3_Sec_307_Air_Quality_Energy.pdf" TargetMode="External" /><Relationship Id="rId122" Type="http://schemas.openxmlformats.org/officeDocument/2006/relationships/hyperlink" Target="http://sites.wff.nasa.gov/code250/docs/SRIPP_Final_PEIS_Volume_I.pdf" TargetMode="External" /><Relationship Id="rId123" Type="http://schemas.openxmlformats.org/officeDocument/2006/relationships/hyperlink" Target="http://www.usbr.gov/mp/nepa/documentShow.cfm?Doc_ID=7559" TargetMode="External" /><Relationship Id="rId124" Type="http://schemas.openxmlformats.org/officeDocument/2006/relationships/hyperlink" Target="http://www.blm.gov/pgdata/etc/medialib/blm/ca/pdf/palmsprings/desert_sunlight.Par.56634.File.dat/Desert%20Sunlight%20FEIS%20chapter%204.pdf" TargetMode="External" /><Relationship Id="rId125" Type="http://schemas.openxmlformats.org/officeDocument/2006/relationships/hyperlink" Target="http://www.blm.gov/pgdata/etc/medialib/blm/ca/pdf/palmsprings/desert_sunlight.Par.56634.File.dat/Desert%20Sunlight%20FEIS%20chapter%204.pdf" TargetMode="External" /><Relationship Id="rId126" Type="http://schemas.openxmlformats.org/officeDocument/2006/relationships/hyperlink" Target="http://gulfofalaskanavyeis.com/Documents/EIS/GOA_FEIS_4_Cumulative_Impacts.pdf" TargetMode="External" /><Relationship Id="rId127" Type="http://schemas.openxmlformats.org/officeDocument/2006/relationships/hyperlink" Target="http://gulfofalaskanavyeis.com/Documents/EIS/GOA_FEIS_4_Cumulative_Impacts.pdf" TargetMode="External" /><Relationship Id="rId128" Type="http://schemas.openxmlformats.org/officeDocument/2006/relationships/hyperlink" Target="http://www.blm.gov/pgdata/etc/medialib/blm/ca/pdf/cdd/energy.Par.8730.File.dat/Lucerne_Valley-FEIS%20Volume%20I-Chapter4.pdf" TargetMode="External" /><Relationship Id="rId129" Type="http://schemas.openxmlformats.org/officeDocument/2006/relationships/hyperlink" Target="http://www.blm.gov/pgdata/etc/medialib/blm/ca/pdf/cdd/energy.Par.8730.File.dat/Lucerne_Valley-FEIS%20Volume%20I-Chapter4.pdf" TargetMode="External" /><Relationship Id="rId130" Type="http://schemas.openxmlformats.org/officeDocument/2006/relationships/hyperlink" Target="http://a123.g.akamai.net/7/123/11558/abc123/forestservic.download.akamai.com/11558/www/nepa/71615_FSPLT2_050375.pdf" TargetMode="External" /><Relationship Id="rId131" Type="http://schemas.openxmlformats.org/officeDocument/2006/relationships/hyperlink" Target="http://solareis.anl.gov/documents/dpeis/Solar_DPEIS_Chapter_6.pdf" TargetMode="External" /><Relationship Id="rId132" Type="http://schemas.openxmlformats.org/officeDocument/2006/relationships/hyperlink" Target="http://solareis.anl.gov/documents/dpeis/Solar_DPEIS_Chapter_6.pdf" TargetMode="External" /><Relationship Id="rId133" Type="http://schemas.openxmlformats.org/officeDocument/2006/relationships/hyperlink" Target="http://www.blm.gov/or/plans/vegtreatmentseis/" TargetMode="External" /><Relationship Id="rId134" Type="http://schemas.openxmlformats.org/officeDocument/2006/relationships/hyperlink" Target="http://www.frbsf.org/news/releases/2009/PRINT-Federal_Reserve_DEIS_102609.pdf" TargetMode="External" /><Relationship Id="rId135" Type="http://schemas.openxmlformats.org/officeDocument/2006/relationships/hyperlink" Target="http://www.faa.gov/about/office_org/headquarters_offices/ast/media/20090803_eppeis.pdf" TargetMode="External" /><Relationship Id="rId136" Type="http://schemas.openxmlformats.org/officeDocument/2006/relationships/hyperlink" Target="http://www.wpcouncil.org/documents/PEIS/NEPA%20Final%20PEIS%20with%20Appendices%20AU71%20FEPs%20(2009-09-24).pdf" TargetMode="External" /><Relationship Id="rId137" Type="http://schemas.openxmlformats.org/officeDocument/2006/relationships/hyperlink" Target="http://www.fs.fed.us/nepa/nepa_project_exp.php?project=31147" TargetMode="External" /><Relationship Id="rId138" Type="http://schemas.openxmlformats.org/officeDocument/2006/relationships/hyperlink" Target="http://www.mcbh.usmc.mil/mv22h1eis/documents/Final%20EIS/Final%20EIS%20for%20Basing%20MV22%20and%20H1%20Aircraft%20in%20Support%20of%20III%20MEF%20Elements%20in%20Hawaii%20Vol1.pdf" TargetMode="External" /><Relationship Id="rId139" Type="http://schemas.openxmlformats.org/officeDocument/2006/relationships/hyperlink" Target="http://ww2.wapa.gov/sites/western/transmission/interconn/Documents/DraftQSEIS.pdf" TargetMode="External" /><Relationship Id="rId140" Type="http://schemas.openxmlformats.org/officeDocument/2006/relationships/hyperlink" Target="http://pbadupws.nrc.gov/docs/ML1129/ML11298A094.pdf" TargetMode="External" /><Relationship Id="rId141" Type="http://schemas.openxmlformats.org/officeDocument/2006/relationships/hyperlink" Target="http://www.boem.gov/uploadedFiles/BOEM/Oil_and_Gas_Energy_Program/Leasing/Five_Year_Program/2012-2017_Five_Year_Program/04_Environmental_Consequences.pdf" TargetMode="External" /><Relationship Id="rId142" Type="http://schemas.openxmlformats.org/officeDocument/2006/relationships/hyperlink" Target="http://a123.g.akamai.net/7/123/11558/abc123/forestservic.download.akamai.com/11558/www/nepa/73402_FSPLT2_060784.pdf" TargetMode="External" /><Relationship Id="rId143" Type="http://schemas.openxmlformats.org/officeDocument/2006/relationships/hyperlink" Target="http://www.pointthomsonprojecteis.com/documents/DEIS11_2011/Chapters/PT_Chapter%2005_Environmental%20Consequences_DEIS_Part%201.pdf" TargetMode="External" /><Relationship Id="rId144" Type="http://schemas.openxmlformats.org/officeDocument/2006/relationships/hyperlink" Target="http://www.tva.gov/environment/reports/muscle_shoals/FEIS/Volume_1_Final_MSR_EIS.pdf" TargetMode="External" /><Relationship Id="rId145" Type="http://schemas.openxmlformats.org/officeDocument/2006/relationships/hyperlink" Target="http://www.usbr.gov/pn/programs/yrbwep/reports/FPEIS/fpeis.pdf" TargetMode="External" /><Relationship Id="rId146" Type="http://schemas.openxmlformats.org/officeDocument/2006/relationships/hyperlink" Target="http://sero.nmfs.noaa.gov/sf/pdfs/Comp%20ACL%20Am%20101411%20FINAL.pdf" TargetMode="External" /><Relationship Id="rId147" Type="http://schemas.openxmlformats.org/officeDocument/2006/relationships/hyperlink" Target="http://a123.g.akamai.net/7/123/11558/abc123/forestservic.download.akamai.com/11558/www/nepa/72243_FSPLT2_063003.pdf" TargetMode="External" /><Relationship Id="rId148" Type="http://schemas.openxmlformats.org/officeDocument/2006/relationships/hyperlink" Target="http://www.nhtsa.gov/Laws+&amp;+Regulations/CAFE+-+Fuel+Economy/Environmental+Impact+Statement+for+MYs+2017-2025+CAFE+Rulemaking" TargetMode="External" /><Relationship Id="rId149" Type="http://schemas.openxmlformats.org/officeDocument/2006/relationships/hyperlink" Target="http://www.stb.dot.gov/Decisions/readingroom.nsf/UNID/A10CF187ED64995A852579490054D777/$file/09+Chapter+3.pdf" TargetMode="External" /><Relationship Id="rId150" Type="http://schemas.openxmlformats.org/officeDocument/2006/relationships/hyperlink" Target="http://www.stb.dot.gov/Decisions/readingroom.nsf/UNID/A10CF187ED64995A852579490054D777/$file/09+Chapter+3.pdf" TargetMode="External" /><Relationship Id="rId151" Type="http://schemas.openxmlformats.org/officeDocument/2006/relationships/hyperlink" Target="http://projects2.pirnie.com/MoapaSolar/documents/DraftEISVol1.pdf" TargetMode="External" /><Relationship Id="rId152" Type="http://schemas.openxmlformats.org/officeDocument/2006/relationships/hyperlink" Target="http://www.blm.gov/or/districts/vale/plans/bakerrmp/files/Vol2_Baker_DEIS-RMP.pdf" TargetMode="External" /><Relationship Id="rId153" Type="http://schemas.openxmlformats.org/officeDocument/2006/relationships/hyperlink" Target="http://www.marines.mil/unit/basecamppendleton/Pages/BaseStaffandAgencies/Environmental/_EIS_BWI_AND_SMBR_EIS_Draft.pdf" TargetMode="External" /><Relationship Id="rId154" Type="http://schemas.openxmlformats.org/officeDocument/2006/relationships/hyperlink" Target="http://www.marines.mil/unit/basecamppendleton/Pages/BaseStaffandAgencies/Environmental/_EIS_BWI_AND_SMBR_APPENDICES_ALL_%28final%29_Draft.pdf" TargetMode="External" /><Relationship Id="rId155" Type="http://schemas.openxmlformats.org/officeDocument/2006/relationships/hyperlink" Target="http://www.blm.gov/pgdata/etc/medialib/blm/nm/field_offices/taos/taos_planning/taos_proposed_rmp.Par.3539.File.dat/Volume%20I%20Final.pdf" TargetMode="External" /><Relationship Id="rId156" Type="http://schemas.openxmlformats.org/officeDocument/2006/relationships/hyperlink" Target="http://www.gnossfieldeis-eir.com/pdf/Volume1/f_Chapter%204%20Affected%20Environment.pdf" TargetMode="External" /><Relationship Id="rId157" Type="http://schemas.openxmlformats.org/officeDocument/2006/relationships/hyperlink" Target="http://www.fs.usda.gov/Internet/FSE_DOCUMENTS/stelprdb5332506.pdf" TargetMode="External" /><Relationship Id="rId158" Type="http://schemas.openxmlformats.org/officeDocument/2006/relationships/hyperlink" Target="http://www.usbr.gov/gp/ecao/wgfp_feis/index.html" TargetMode="External" /><Relationship Id="rId159" Type="http://schemas.openxmlformats.org/officeDocument/2006/relationships/hyperlink" Target="http://sero.nmfs.noaa.gov/sf/pdfs/Amendment18A%28Dec.09,2011DEISpostedtowebsitesforcomment%29.pdf" TargetMode="External" /><Relationship Id="rId160" Type="http://schemas.openxmlformats.org/officeDocument/2006/relationships/hyperlink" Target="http://www.rurdev.usda.gov/SupportDocuments/OPCFEIS_Sec.3.pdf" TargetMode="External" /><Relationship Id="rId161" Type="http://schemas.openxmlformats.org/officeDocument/2006/relationships/hyperlink" Target="http://www.fs.usda.gov/Internet/FSE_DOCUMENTS/stelprdb5364226.pdf" TargetMode="External" /><Relationship Id="rId162" Type="http://schemas.openxmlformats.org/officeDocument/2006/relationships/hyperlink" Target="http://parkplanning.nps.gov/document.cfm?parkID=327&amp;projectID=16940&amp;documentID=43172" TargetMode="External" /><Relationship Id="rId163" Type="http://schemas.openxmlformats.org/officeDocument/2006/relationships/hyperlink" Target="http://pbadupws.nrc.gov/docs/ML1134/ML11343A010.pdf" TargetMode="External" /><Relationship Id="rId164" Type="http://schemas.openxmlformats.org/officeDocument/2006/relationships/hyperlink" Target="http://coastalmanagement.noaa.gov/mystate/docs/ilfeis.pdf" TargetMode="External" /><Relationship Id="rId165" Type="http://schemas.openxmlformats.org/officeDocument/2006/relationships/hyperlink" Target="http://www.ct.gov/dot/lib/dot/documents/denviro/UConn_FEIS_120911.pdf" TargetMode="External" /><Relationship Id="rId166" Type="http://schemas.openxmlformats.org/officeDocument/2006/relationships/hyperlink" Target="http://a123.g.akamai.net/7/123/11558/abc123/forestservic.download.akamai.com/11558/www/nepa/50297_FSPLT2_066543.pdf" TargetMode="External" /><Relationship Id="rId167" Type="http://schemas.openxmlformats.org/officeDocument/2006/relationships/hyperlink" Target="http://www.portoflosangeles.org/EIR/APL/DEIR/Appendix%20E1%20-%20Emissions%20GHG.pdf" TargetMode="External" /><Relationship Id="rId168" Type="http://schemas.openxmlformats.org/officeDocument/2006/relationships/hyperlink" Target="http://www.portoflosangeles.org/EIR/APL/DEIR/APL_Final_EIS_EIR_May%202012.pdf" TargetMode="External" /><Relationship Id="rId169" Type="http://schemas.openxmlformats.org/officeDocument/2006/relationships/hyperlink" Target="http://www.boem.gov/Environmental-Stewardship/Environmental-Assessment/NEPA/nepaprocess.aspx" TargetMode="External" /><Relationship Id="rId170" Type="http://schemas.openxmlformats.org/officeDocument/2006/relationships/hyperlink" Target="http://a123.g.akamai.net/7/123/11558/abc123/forestservic.download.akamai.com/11558/www/nepa/9046_FSPLT2_071032.pdf" TargetMode="External" /><Relationship Id="rId171" Type="http://schemas.openxmlformats.org/officeDocument/2006/relationships/hyperlink" Target="http://www.mcbh.usmc.mil/mv22h1eis/documents/Final%20EIS/Ch05%20Cumulative%20Impacts.pdf" TargetMode="External" /><Relationship Id="rId172" Type="http://schemas.openxmlformats.org/officeDocument/2006/relationships/hyperlink" Target="http://www.portoflosangeles.org/EIR/APL/DEIR/08%20APL_Draft%20EIS_EIR_3%202-Air_GHG_HRA_Dec%202011.pdf" TargetMode="External" /></Relationships>
</file>

<file path=xl/worksheets/sheet1.xml><?xml version="1.0" encoding="utf-8"?>
<worksheet xmlns="http://schemas.openxmlformats.org/spreadsheetml/2006/main" xmlns:r="http://schemas.openxmlformats.org/officeDocument/2006/relationships">
  <dimension ref="A1:O250"/>
  <sheetViews>
    <sheetView tabSelected="1" zoomScale="110" zoomScaleNormal="110" workbookViewId="0" topLeftCell="A1">
      <pane ySplit="2" topLeftCell="BM113" activePane="bottomLeft" state="frozen"/>
      <selection pane="topLeft" activeCell="B1" sqref="B1"/>
      <selection pane="bottomLeft" activeCell="A113" sqref="A113"/>
    </sheetView>
  </sheetViews>
  <sheetFormatPr defaultColWidth="8.8515625" defaultRowHeight="15"/>
  <cols>
    <col min="1" max="1" width="9.7109375" style="96" customWidth="1"/>
    <col min="2" max="2" width="19.28125" style="37" customWidth="1"/>
    <col min="3" max="3" width="11.8515625" style="0" customWidth="1"/>
    <col min="4" max="4" width="8.8515625" style="0" customWidth="1"/>
    <col min="5" max="5" width="64.421875" style="41" customWidth="1"/>
    <col min="6" max="6" width="16.7109375" style="40" customWidth="1"/>
    <col min="7" max="7" width="13.421875" style="40" customWidth="1"/>
    <col min="8" max="8" width="14.28125" style="40" customWidth="1"/>
    <col min="9" max="9" width="6.421875" style="13" customWidth="1"/>
    <col min="10" max="10" width="6.7109375" style="13" customWidth="1"/>
    <col min="11" max="11" width="7.28125" style="13" customWidth="1"/>
    <col min="12" max="12" width="6.8515625" style="13" customWidth="1"/>
    <col min="13" max="13" width="6.421875" style="13" customWidth="1"/>
    <col min="14" max="14" width="6.8515625" style="13" customWidth="1"/>
    <col min="15" max="15" width="65.00390625" style="0" customWidth="1"/>
  </cols>
  <sheetData>
    <row r="1" spans="2:15" ht="34.5" thickBot="1">
      <c r="B1" s="51" t="s">
        <v>206</v>
      </c>
      <c r="C1" s="51" t="s">
        <v>194</v>
      </c>
      <c r="D1" s="51" t="s">
        <v>175</v>
      </c>
      <c r="E1" s="53" t="s">
        <v>96</v>
      </c>
      <c r="F1" s="53" t="s">
        <v>248</v>
      </c>
      <c r="G1" s="53" t="s">
        <v>145</v>
      </c>
      <c r="H1" s="53" t="s">
        <v>107</v>
      </c>
      <c r="I1" s="112" t="s">
        <v>97</v>
      </c>
      <c r="J1" s="113"/>
      <c r="K1" s="113"/>
      <c r="L1" s="113"/>
      <c r="M1" s="113"/>
      <c r="N1" s="114"/>
      <c r="O1" s="53" t="s">
        <v>31</v>
      </c>
    </row>
    <row r="2" spans="1:15" ht="18" thickBot="1">
      <c r="A2" s="97"/>
      <c r="B2" s="52"/>
      <c r="C2" s="52"/>
      <c r="D2" s="52"/>
      <c r="E2" s="54"/>
      <c r="F2" s="54"/>
      <c r="G2" s="54"/>
      <c r="H2" s="54"/>
      <c r="I2" s="23">
        <v>1</v>
      </c>
      <c r="J2" s="23">
        <v>2</v>
      </c>
      <c r="K2" s="23">
        <v>3</v>
      </c>
      <c r="L2" s="23">
        <v>4</v>
      </c>
      <c r="M2" s="23">
        <v>5</v>
      </c>
      <c r="N2" s="74">
        <v>6</v>
      </c>
      <c r="O2" s="54"/>
    </row>
    <row r="3" spans="1:15" ht="48">
      <c r="A3" s="106">
        <v>39173</v>
      </c>
      <c r="B3" s="105" t="s">
        <v>164</v>
      </c>
      <c r="C3" s="90" t="s">
        <v>315</v>
      </c>
      <c r="D3" s="90" t="s">
        <v>316</v>
      </c>
      <c r="E3" s="95" t="s">
        <v>317</v>
      </c>
      <c r="F3" s="22" t="s">
        <v>318</v>
      </c>
      <c r="G3" s="22"/>
      <c r="H3" s="22"/>
      <c r="I3" s="56" t="s">
        <v>252</v>
      </c>
      <c r="J3" s="56"/>
      <c r="K3" s="56"/>
      <c r="L3" s="56"/>
      <c r="M3" s="56" t="s">
        <v>252</v>
      </c>
      <c r="N3" s="56"/>
      <c r="O3" s="94" t="s">
        <v>577</v>
      </c>
    </row>
    <row r="4" spans="1:15" ht="36">
      <c r="A4" s="99">
        <v>39814</v>
      </c>
      <c r="B4" s="30" t="s">
        <v>94</v>
      </c>
      <c r="C4" s="14" t="s">
        <v>235</v>
      </c>
      <c r="D4" s="14" t="s">
        <v>178</v>
      </c>
      <c r="E4" s="39" t="str">
        <f>HYPERLINK("http://www.pcouncil.org/groundfish/background/document-library/environmental-impact-statements/2009-2010-final-environmental-impact-statement/","Proposed Acceptable Biological Catch (ABC) and Optimum Yield (OY) Specifications and Management Measures for the 2009-2010 Pacific Coast Groundfish Fishery Management Plan, Implementation, WA, OR and CA")</f>
        <v>Proposed Acceptable Biological Catch (ABC) and Optimum Yield (OY) Specifications and Management Measures for the 2009-2010 Pacific Coast Groundfish Fishery Management Plan, Implementation, WA, OR and CA</v>
      </c>
      <c r="F4" s="16" t="str">
        <f>HYPERLINK("http://www.pcouncil.org/wp-content/uploads/0910GF_SpexFEIS.pdf","198")</f>
        <v>198</v>
      </c>
      <c r="G4" s="16"/>
      <c r="H4" s="16"/>
      <c r="I4" s="18"/>
      <c r="J4" s="18"/>
      <c r="K4" s="18"/>
      <c r="L4" s="18"/>
      <c r="M4" s="18" t="s">
        <v>108</v>
      </c>
      <c r="N4" s="18"/>
      <c r="O4" s="17" t="s">
        <v>100</v>
      </c>
    </row>
    <row r="5" spans="1:15" ht="48">
      <c r="A5" s="98">
        <v>39815</v>
      </c>
      <c r="B5" s="34" t="s">
        <v>212</v>
      </c>
      <c r="C5" s="14" t="s">
        <v>199</v>
      </c>
      <c r="D5" s="14" t="s">
        <v>176</v>
      </c>
      <c r="E5" s="39" t="str">
        <f>HYPERLINK("http://www.portoflosangeles.org/EIR/ChinaShipping/DEIR/deir_china_shipping.asp","Berth 97-109 (China Shipping) Container Terminal Project, Construction and Operation, Issuance of Section 404 (CWA) and Section 10 Rivers and Harbor Act Permits, Port of Los Angeles, Los Angeles County, CA")</f>
        <v>Berth 97-109 (China Shipping) Container Terminal Project, Construction and Operation, Issuance of Section 404 (CWA) and Section 10 Rivers and Harbor Act Permits, Port of Los Angeles, Los Angeles County, CA</v>
      </c>
      <c r="F5" s="19"/>
      <c r="G5" s="16" t="str">
        <f>HYPERLINK("http://www.portoflosangeles.org/EIR/ChinaShipping/DEIR/3.2_Air_Quality.pdf","120-9")</f>
        <v>120-9</v>
      </c>
      <c r="H5" s="19"/>
      <c r="I5" s="21" t="s">
        <v>108</v>
      </c>
      <c r="J5" s="21" t="s">
        <v>108</v>
      </c>
      <c r="K5" s="21" t="s">
        <v>108</v>
      </c>
      <c r="L5" s="21" t="s">
        <v>108</v>
      </c>
      <c r="M5" s="21"/>
      <c r="N5" s="21"/>
      <c r="O5" s="17" t="s">
        <v>67</v>
      </c>
    </row>
    <row r="6" spans="1:15" ht="36">
      <c r="A6" s="98">
        <v>39828</v>
      </c>
      <c r="B6" s="45" t="s">
        <v>584</v>
      </c>
      <c r="C6" s="14" t="s">
        <v>200</v>
      </c>
      <c r="D6" s="14" t="s">
        <v>178</v>
      </c>
      <c r="E6" s="39" t="str">
        <f>HYPERLINK("http://www.ferc.gov/industries/gas/enviro/eis/2010/01-08-10.asp","Ruby Pipeline Project, Proposed Natural Gas Pipeline Facilities, Right-of-Way Grants (and/or Temporary Use or Special Use Permits), WY, UT, NV and OR")</f>
        <v>Ruby Pipeline Project, Proposed Natural Gas Pipeline Facilities, Right-of-Way Grants (and/or Temporary Use or Special Use Permits), WY, UT, NV and OR</v>
      </c>
      <c r="F6" s="16" t="str">
        <f>HYPERLINK("http://elibrary.ferc.gov/idmws/common/OpenNat.asp?fileID=12237804 ","276-7, 311-2")</f>
        <v>276-7, 311-2</v>
      </c>
      <c r="G6" s="16"/>
      <c r="H6" s="16"/>
      <c r="I6" s="18" t="s">
        <v>108</v>
      </c>
      <c r="J6" s="18"/>
      <c r="K6" s="18"/>
      <c r="L6" s="18" t="s">
        <v>108</v>
      </c>
      <c r="M6" s="18"/>
      <c r="N6" s="18"/>
      <c r="O6" s="17" t="s">
        <v>21</v>
      </c>
    </row>
    <row r="7" spans="1:15" ht="24">
      <c r="A7" s="98">
        <v>39829</v>
      </c>
      <c r="B7" s="79" t="s">
        <v>211</v>
      </c>
      <c r="C7" s="14" t="s">
        <v>187</v>
      </c>
      <c r="D7" s="14" t="s">
        <v>243</v>
      </c>
      <c r="E7" s="39" t="str">
        <f>HYPERLINK("https://www.nysdot.gov/portal/page/portal/regional-offices/region7/projects/fort-drum-connector/impact-nov08","Fort Drum Connector Route Project, Proposed Link between I-81 and US Route 11 at the Fort Drum North Gate, Town of Le Ray and Pamelia, Jefferson County, NY")</f>
        <v>Fort Drum Connector Route Project, Proposed Link between I-81 and US Route 11 at the Fort Drum North Gate, Town of Le Ray and Pamelia, Jefferson County, NY</v>
      </c>
      <c r="F7" s="16" t="str">
        <f>HYPERLINK("https://www.nysdot.gov/regional-offices/region7/projects/fort-drum-connector/fort-drum-repository/5FE5B23C5E90F032E0430A3DFC05F032","336-7")</f>
        <v>336-7</v>
      </c>
      <c r="G7" s="16"/>
      <c r="H7" s="16"/>
      <c r="I7" s="18"/>
      <c r="J7" s="18"/>
      <c r="K7" s="18" t="s">
        <v>108</v>
      </c>
      <c r="L7" s="18" t="s">
        <v>108</v>
      </c>
      <c r="M7" s="18"/>
      <c r="N7" s="18"/>
      <c r="O7" s="17" t="s">
        <v>41</v>
      </c>
    </row>
    <row r="8" spans="1:15" ht="36">
      <c r="A8" s="98">
        <v>39829</v>
      </c>
      <c r="B8" s="77" t="s">
        <v>161</v>
      </c>
      <c r="C8" s="58" t="s">
        <v>315</v>
      </c>
      <c r="D8" s="14" t="s">
        <v>178</v>
      </c>
      <c r="E8" s="39" t="str">
        <f>HYPERLINK("http://www.mms.gov/offshore/RenewableEnergy/CapeWindFEIS.htm","Cape Wind Energy Project, Construction, Operation and Maintenance, and Decommissioning of a Electric Generation Facility, Barnstable, Nantucket and Duke Counties, MA and Washington County, RI")</f>
        <v>Cape Wind Energy Project, Construction, Operation and Maintenance, and Decommissioning of a Electric Generation Facility, Barnstable, Nantucket and Duke Counties, MA and Washington County, RI</v>
      </c>
      <c r="F8" s="16" t="str">
        <f>HYPERLINK("http://www.mms.gov/offshore/AlternativeEnergy/PDFs/FEIS/Cape%20Wind%20Energy%20Project%20FEIS.pdf","380-1")</f>
        <v>380-1</v>
      </c>
      <c r="G8" s="16"/>
      <c r="H8" s="16"/>
      <c r="I8" s="18" t="s">
        <v>108</v>
      </c>
      <c r="J8" s="18"/>
      <c r="K8" s="18"/>
      <c r="L8" s="18"/>
      <c r="M8" s="18"/>
      <c r="N8" s="18"/>
      <c r="O8" s="17" t="s">
        <v>48</v>
      </c>
    </row>
    <row r="9" spans="1:15" ht="36">
      <c r="A9" s="98">
        <v>39845</v>
      </c>
      <c r="B9" s="77" t="s">
        <v>161</v>
      </c>
      <c r="C9" s="14" t="s">
        <v>177</v>
      </c>
      <c r="D9" s="14" t="s">
        <v>197</v>
      </c>
      <c r="E9" s="39" t="str">
        <f>HYPERLINK("http://www.fs.fed.us/r10/tongass/projects/nepa_project.shtml?project=4293","Angoon Hydroelectric Project, Construction and Operation, Special-Use-Authorization, Thayer Creek, Admiralty Island National Monument, Tongass National Forest, AK")</f>
        <v>Angoon Hydroelectric Project, Construction and Operation, Special-Use-Authorization, Thayer Creek, Admiralty Island National Monument, Tongass National Forest, AK</v>
      </c>
      <c r="F9" s="16" t="str">
        <f>HYPERLINK("http://a123.g.akamai.net/7/123/11558/abc123/forestservic.download.akamai.com/11558/www/nepa/4321_FSPLT1_017096.pdf","166-7")</f>
        <v>166-7</v>
      </c>
      <c r="G9" s="16"/>
      <c r="H9" s="16"/>
      <c r="I9" s="18" t="s">
        <v>108</v>
      </c>
      <c r="J9" s="18"/>
      <c r="K9" s="18"/>
      <c r="L9" s="18"/>
      <c r="M9" s="18"/>
      <c r="N9" s="18"/>
      <c r="O9" s="17" t="s">
        <v>47</v>
      </c>
    </row>
    <row r="10" spans="1:15" ht="48">
      <c r="A10" s="98">
        <v>39850</v>
      </c>
      <c r="B10" s="43" t="s">
        <v>207</v>
      </c>
      <c r="C10" s="14" t="s">
        <v>199</v>
      </c>
      <c r="D10" s="14" t="s">
        <v>182</v>
      </c>
      <c r="E10" s="39" t="str">
        <f>HYPERLINK("http://aec.army.mil/usaec/nepa/topics00.html","Fort Carson Grow the Army Stationing Decision, Constructing New Facilities to Support Additional Soldiers and their Families, Portions of El Paso, Pueblo and Fremont Counties, CO")</f>
        <v>Fort Carson Grow the Army Stationing Decision, Constructing New Facilities to Support Additional Soldiers and their Families, Portions of El Paso, Pueblo and Fremont Counties, CO</v>
      </c>
      <c r="F10" s="16" t="str">
        <f>HYPERLINK("http://aec.army.mil/usaec/nepa/carson-feis_feb09.pdf","350-4")</f>
        <v>350-4</v>
      </c>
      <c r="G10" s="16"/>
      <c r="H10" s="16"/>
      <c r="I10" s="18" t="s">
        <v>108</v>
      </c>
      <c r="J10" s="18" t="s">
        <v>108</v>
      </c>
      <c r="K10" s="18" t="s">
        <v>108</v>
      </c>
      <c r="L10" s="18"/>
      <c r="M10" s="18"/>
      <c r="N10" s="18"/>
      <c r="O10" s="17" t="s">
        <v>76</v>
      </c>
    </row>
    <row r="11" spans="1:15" ht="48">
      <c r="A11" s="98">
        <v>39873</v>
      </c>
      <c r="B11" s="27" t="s">
        <v>32</v>
      </c>
      <c r="C11" s="14" t="s">
        <v>199</v>
      </c>
      <c r="D11" s="14" t="s">
        <v>176</v>
      </c>
      <c r="E11" s="39" t="str">
        <f>HYPERLINK("http://lrdp.ucmerced.edu/2.asp?uc=1&amp;lvl2=35&amp;lvl3=35&amp;lvl4=37&amp;contentid=37","University of California (UC) Merced Campus and University Community Project, Development of a Major Research University, To Allow for the Discharge of Fill Material into 76.7 Acres of Wetlands, US Army COE Section 404 Permit, Merced County, CA")</f>
        <v>University of California (UC) Merced Campus and University Community Project, Development of a Major Research University, To Allow for the Discharge of Fill Material into 76.7 Acres of Wetlands, US Army COE Section 404 Permit, Merced County, CA</v>
      </c>
      <c r="F11" s="16" t="str">
        <f>HYPERLINK("http://lrdp.ucmerced.edu/docs/Draft%20EIR-EIS/Volume%202/4.0_Affected_Environment_and_Environmental_Consequences.pdf","388-91")</f>
        <v>388-91</v>
      </c>
      <c r="G11" s="19"/>
      <c r="H11" s="16"/>
      <c r="I11" s="18" t="s">
        <v>108</v>
      </c>
      <c r="J11" s="18" t="s">
        <v>108</v>
      </c>
      <c r="K11" s="18" t="s">
        <v>108</v>
      </c>
      <c r="L11" s="18" t="s">
        <v>108</v>
      </c>
      <c r="M11" s="18"/>
      <c r="N11" s="18"/>
      <c r="O11" s="17" t="s">
        <v>114</v>
      </c>
    </row>
    <row r="12" spans="1:15" ht="36">
      <c r="A12" s="98">
        <v>39873</v>
      </c>
      <c r="B12" s="76" t="s">
        <v>163</v>
      </c>
      <c r="C12" s="14" t="s">
        <v>240</v>
      </c>
      <c r="D12" s="14" t="s">
        <v>217</v>
      </c>
      <c r="E12" s="39" t="str">
        <f>HYPERLINK("http://www.nrc.gov/reading-rm/doc-collections/nuregs/staff/sr1437/supplement35/","GENERIC - License Renewal of Nuclear Plants, Supplement 35 to NUREG-1437, Regarding Susquehanna Steam Electric Station, Units 1 and 2, Issuing Nuclear Power Plant Operating Licenses for a 20-Year Period, PA")</f>
        <v>GENERIC - License Renewal of Nuclear Plants, Supplement 35 to NUREG-1437, Regarding Susquehanna Steam Electric Station, Units 1 and 2, Issuing Nuclear Power Plant Operating Licenses for a 20-Year Period, PA</v>
      </c>
      <c r="F12" s="16" t="str">
        <f>HYPERLINK("http://adamswebsearch2.nrc.gov/idmws/ViewDocByAccession.asp?AccessionNumber=ML090700454","244, 258")</f>
        <v>244, 258</v>
      </c>
      <c r="G12" s="16"/>
      <c r="H12" s="16"/>
      <c r="I12" s="18" t="s">
        <v>108</v>
      </c>
      <c r="J12" s="18"/>
      <c r="K12" s="18"/>
      <c r="L12" s="18"/>
      <c r="M12" s="18"/>
      <c r="N12" s="18"/>
      <c r="O12" s="17" t="s">
        <v>46</v>
      </c>
    </row>
    <row r="13" spans="1:15" ht="48">
      <c r="A13" s="98">
        <v>39899</v>
      </c>
      <c r="B13" s="32" t="s">
        <v>213</v>
      </c>
      <c r="C13" s="14" t="s">
        <v>191</v>
      </c>
      <c r="D13" s="14" t="s">
        <v>185</v>
      </c>
      <c r="E13" s="39" t="str">
        <f>HYPERLINK("http://www.blm.gov/nv/st/en/fo/elko_field_office/blm_information/nepa.html","Betze Pit Expansion Project, Development of New Facilities and Expansion of Existing Open-Pit Gold Mining, Eureka and Elko Counties, NV")</f>
        <v>Betze Pit Expansion Project, Development of New Facilities and Expansion of Existing Open-Pit Gold Mining, Eureka and Elko Counties, NV</v>
      </c>
      <c r="F13" s="19"/>
      <c r="G13" s="16" t="str">
        <f>HYPERLINK("http://www.blm.gov/pgdata/etc/medialib/blm/nv/field_offices/elko_field_office/information/nepa/betze_pit_draft_seis.Par.98906.File.dat/3.0_Affect_Env.pdf","252-3")</f>
        <v>252-3</v>
      </c>
      <c r="H13" s="19"/>
      <c r="I13" s="21" t="s">
        <v>108</v>
      </c>
      <c r="J13" s="21" t="s">
        <v>108</v>
      </c>
      <c r="K13" s="21" t="s">
        <v>108</v>
      </c>
      <c r="L13" s="21" t="s">
        <v>108</v>
      </c>
      <c r="M13" s="21"/>
      <c r="N13" s="21"/>
      <c r="O13" s="17" t="s">
        <v>36</v>
      </c>
    </row>
    <row r="14" spans="1:15" ht="24">
      <c r="A14" s="98">
        <v>39899</v>
      </c>
      <c r="B14" s="24" t="s">
        <v>209</v>
      </c>
      <c r="C14" s="14" t="s">
        <v>177</v>
      </c>
      <c r="D14" s="14" t="s">
        <v>183</v>
      </c>
      <c r="E14" s="39" t="str">
        <f>HYPERLINK("http://www.fs.fed.us/r6/centraloregon/projects/units/crescent/blt/index.shtml","BLT Project, Proposed Vegetation Management Activities, Crescent Ranger District, Deschutes National Forest, Deschutes County, OR")</f>
        <v>BLT Project, Proposed Vegetation Management Activities, Crescent Ranger District, Deschutes National Forest, Deschutes County, OR</v>
      </c>
      <c r="F14" s="16" t="str">
        <f>HYPERLINK("http://www.fs.fed.us/r6/centraloregon/projects/units/crescent/blt/20090129_bltfeis_final1.pdf","118-9")</f>
        <v>118-9</v>
      </c>
      <c r="G14" s="16"/>
      <c r="H14" s="16"/>
      <c r="I14" s="18"/>
      <c r="J14" s="18"/>
      <c r="K14" s="18"/>
      <c r="L14" s="18"/>
      <c r="M14" s="18" t="s">
        <v>108</v>
      </c>
      <c r="N14" s="18" t="s">
        <v>252</v>
      </c>
      <c r="O14" s="17" t="s">
        <v>106</v>
      </c>
    </row>
    <row r="15" spans="1:15" ht="72">
      <c r="A15" s="98">
        <v>39904</v>
      </c>
      <c r="B15" s="27" t="s">
        <v>32</v>
      </c>
      <c r="C15" s="14" t="s">
        <v>199</v>
      </c>
      <c r="D15" s="14" t="s">
        <v>176</v>
      </c>
      <c r="E15" s="15" t="str">
        <f>HYPERLINK("http://www.dfg.ca.gov/regions/5/newhall/docs/","Newhall Ranch Resource Management and Development Plan (RMDP) and the Spineflower Conservation Plan (SCP), Implementation, Portion of Santa Clara River Valley, Los Angeles County, CA")</f>
        <v>Newhall Ranch Resource Management and Development Plan (RMDP) and the Spineflower Conservation Plan (SCP), Implementation, Portion of Santa Clara River Valley, Los Angeles County, CA</v>
      </c>
      <c r="F15" s="19"/>
      <c r="G15" s="16" t="str">
        <f>HYPERLINK("http://nrm.dfg.ca.gov/FileHandler.ashx?DocumentID=11035","276-279")</f>
        <v>276-279</v>
      </c>
      <c r="H15" s="16" t="str">
        <f>HYPERLINK("http://nrm.dfg.ca.gov/FileHandler.ashx?DocumentID=11037 ","ALL")</f>
        <v>ALL</v>
      </c>
      <c r="I15" s="18" t="s">
        <v>108</v>
      </c>
      <c r="J15" s="18" t="s">
        <v>108</v>
      </c>
      <c r="K15" s="18" t="s">
        <v>108</v>
      </c>
      <c r="L15" s="18" t="s">
        <v>108</v>
      </c>
      <c r="M15" s="18"/>
      <c r="N15" s="18"/>
      <c r="O15" s="17" t="s">
        <v>54</v>
      </c>
    </row>
    <row r="16" spans="1:15" ht="24">
      <c r="A16" s="98">
        <v>39912</v>
      </c>
      <c r="B16" s="30" t="s">
        <v>94</v>
      </c>
      <c r="C16" s="14" t="s">
        <v>196</v>
      </c>
      <c r="D16" s="14" t="s">
        <v>176</v>
      </c>
      <c r="E16" s="39" t="str">
        <f>HYPERLINK("http://www.fws.gov/nevada/highlights/comment/pct/index.htm","Paiute Cutthroat Trout Restoration Project, Eradication of Non-Native Trout Species from 11 Stream Miles of Silver King Creek, Alpine County, CA")</f>
        <v>Paiute Cutthroat Trout Restoration Project, Eradication of Non-Native Trout Species from 11 Stream Miles of Silver King Creek, Alpine County, CA</v>
      </c>
      <c r="F16" s="16" t="str">
        <f>HYPERLINK("http://www.fws.gov/nevada/highlights/comment/pct/Final_EIS_2010/Paiute_Cutthroat_Trout_Restoration_Project-Silver_King_Creek_Final_EIS-EIR_Chapters_0-8_FES_10-10.pdf ","209-13, 260, 274")</f>
        <v>209-13, 260, 274</v>
      </c>
      <c r="G16" s="16"/>
      <c r="H16" s="16"/>
      <c r="I16" s="18" t="s">
        <v>108</v>
      </c>
      <c r="J16" s="18"/>
      <c r="K16" s="18" t="s">
        <v>108</v>
      </c>
      <c r="L16" s="18"/>
      <c r="M16" s="18"/>
      <c r="N16" s="18"/>
      <c r="O16" s="17" t="s">
        <v>59</v>
      </c>
    </row>
    <row r="17" spans="1:15" ht="48">
      <c r="A17" s="98">
        <v>39913</v>
      </c>
      <c r="B17" s="30" t="s">
        <v>94</v>
      </c>
      <c r="C17" s="14" t="s">
        <v>235</v>
      </c>
      <c r="D17" s="14" t="s">
        <v>178</v>
      </c>
      <c r="E17" s="15" t="s">
        <v>156</v>
      </c>
      <c r="F17" s="16" t="str">
        <f>HYPERLINK("http://www.fpir.noaa.gov/Library/PUBDOCs/environmental_impact_statements/FSEIS_WP_pelagics_amend18/Pel%2018%20Amendment%20AW49%20HI%20Shallow-set%20(2009-03-10)%20with%20FSEIS.pdf","62-3, 149-51, 248-50, 283-7")</f>
        <v>62-3, 149-51, 248-50, 283-7</v>
      </c>
      <c r="G17" s="16"/>
      <c r="H17" s="16"/>
      <c r="I17" s="18"/>
      <c r="J17" s="18"/>
      <c r="K17" s="18"/>
      <c r="L17" s="18"/>
      <c r="M17" s="18" t="s">
        <v>108</v>
      </c>
      <c r="N17" s="18"/>
      <c r="O17" s="17" t="s">
        <v>26</v>
      </c>
    </row>
    <row r="18" spans="1:15" ht="36">
      <c r="A18" s="98">
        <v>39913</v>
      </c>
      <c r="B18" s="34" t="s">
        <v>212</v>
      </c>
      <c r="C18" s="14" t="s">
        <v>199</v>
      </c>
      <c r="D18" s="14" t="s">
        <v>176</v>
      </c>
      <c r="E18" s="39" t="str">
        <f>HYPERLINK("http://www.polb.com/environment/docs.asp","Middle Harbor Redevelopment Project, Proposal to Increase Container Terminal Efficiency to Accommodate a Portion of the Predicted Future Containerized Cargo, Section 10 and 404 Permits, Port of Long Beach, Los Angeles County, CA")</f>
        <v>Middle Harbor Redevelopment Project, Proposal to Increase Container Terminal Efficiency to Accommodate a Portion of the Predicted Future Containerized Cargo, Section 10 and 404 Permits, Port of Long Beach, Los Angeles County, CA</v>
      </c>
      <c r="F18" s="16" t="str">
        <f>HYPERLINK("http://www.polb.com/civica/filebank/blobdload.asp?BlobID=6232","12-3, 100, 104, 113-8, 126-30, 135-7, 141-2, 150")</f>
        <v>12-3, 100, 104, 113-8, 126-30, 135-7, 141-2, 150</v>
      </c>
      <c r="G18" s="16"/>
      <c r="H18" s="16"/>
      <c r="I18" s="18" t="s">
        <v>108</v>
      </c>
      <c r="J18" s="18"/>
      <c r="K18" s="18" t="s">
        <v>108</v>
      </c>
      <c r="L18" s="18" t="s">
        <v>108</v>
      </c>
      <c r="M18" s="18"/>
      <c r="N18" s="18"/>
      <c r="O18" s="17" t="s">
        <v>39</v>
      </c>
    </row>
    <row r="19" spans="1:15" ht="48">
      <c r="A19" s="98">
        <v>39920</v>
      </c>
      <c r="B19" s="34" t="s">
        <v>212</v>
      </c>
      <c r="C19" s="14" t="s">
        <v>199</v>
      </c>
      <c r="D19" s="14" t="s">
        <v>176</v>
      </c>
      <c r="E19" s="15" t="s">
        <v>155</v>
      </c>
      <c r="F19" s="16" t="str">
        <f>HYPERLINK("http://www.portoflosangeles.org/EIR/ChanDeep/FEIR/App_C_Air%20Qual_ALL_jks-DONE.pdf","22-6")</f>
        <v>22-6</v>
      </c>
      <c r="G19" s="16"/>
      <c r="H19" s="16"/>
      <c r="I19" s="18" t="s">
        <v>108</v>
      </c>
      <c r="J19" s="18"/>
      <c r="K19" s="18"/>
      <c r="L19" s="18"/>
      <c r="M19" s="18"/>
      <c r="N19" s="18"/>
      <c r="O19" s="17" t="s">
        <v>99</v>
      </c>
    </row>
    <row r="20" spans="1:15" ht="36">
      <c r="A20" s="98">
        <v>39934</v>
      </c>
      <c r="B20" s="35" t="s">
        <v>208</v>
      </c>
      <c r="C20" s="14" t="s">
        <v>191</v>
      </c>
      <c r="D20" s="14" t="s">
        <v>185</v>
      </c>
      <c r="E20" s="39" t="str">
        <f>HYPERLINK("http://www.blm.gov/nv/st/en/prog/planning/groundwater_projects/lcla_groundwater_project/final_eis.html","Lincoln County Land Act (LCLA) Groundwater Development and Utility Right-of-Way Project, Implementation, To Grant a Right-of-Way Permit for Groundwater Development and Utility Facilities, Lincoln County, NV")</f>
        <v>Lincoln County Land Act (LCLA) Groundwater Development and Utility Right-of-Way Project, Implementation, To Grant a Right-of-Way Permit for Groundwater Development and Utility Facilities, Lincoln County, NV</v>
      </c>
      <c r="F20" s="16" t="str">
        <f>HYPERLINK("http://www.blm.gov/pgdata/etc/medialib/blm/nv/groundwater_development/lcla/lcla_feis.Par.95759.File.dat/4.0%20Environmental%20Consequences.pdf","42")</f>
        <v>42</v>
      </c>
      <c r="G20" s="16"/>
      <c r="H20" s="16"/>
      <c r="I20" s="18"/>
      <c r="J20" s="18" t="s">
        <v>108</v>
      </c>
      <c r="K20" s="18"/>
      <c r="L20" s="18"/>
      <c r="M20" s="18"/>
      <c r="N20" s="18"/>
      <c r="O20" s="17" t="s">
        <v>73</v>
      </c>
    </row>
    <row r="21" spans="1:15" ht="36">
      <c r="A21" s="98">
        <v>39934</v>
      </c>
      <c r="B21" s="24" t="s">
        <v>209</v>
      </c>
      <c r="C21" s="14" t="s">
        <v>177</v>
      </c>
      <c r="D21" s="14" t="s">
        <v>176</v>
      </c>
      <c r="E21" s="108" t="s">
        <v>111</v>
      </c>
      <c r="F21" s="16" t="str">
        <f>HYPERLINK("http://a123.g.akamai.net/7/123/11558/abc123/forestservic.download.akamai.com/11558/www/nepa/21664_FSPLT1_011842.pdf","128, 133-4")</f>
        <v>128, 133-4</v>
      </c>
      <c r="G21" s="16"/>
      <c r="H21" s="16"/>
      <c r="I21" s="18" t="s">
        <v>108</v>
      </c>
      <c r="J21" s="18"/>
      <c r="K21" s="18"/>
      <c r="L21" s="18"/>
      <c r="M21" s="18"/>
      <c r="N21" s="18"/>
      <c r="O21" s="17" t="s">
        <v>105</v>
      </c>
    </row>
    <row r="22" spans="1:15" ht="36">
      <c r="A22" s="98">
        <v>39934</v>
      </c>
      <c r="B22" s="76" t="s">
        <v>163</v>
      </c>
      <c r="C22" s="14" t="s">
        <v>240</v>
      </c>
      <c r="D22" s="14" t="s">
        <v>217</v>
      </c>
      <c r="E22" s="39" t="str">
        <f>HYPERLINK("http://www.nrc.gov/reactors/operating/licensing/renewal/applications/bvalley.html#impact_statement","Generic - License Renewal of Nuclear Plants, Supplement 36 to NUREG-1437, Regarding Beaver Valley Power Station, Units 1 and 2, Plant -Specific, Issuing Nuclear Power Plant Operating License for an Additional 20-Year Period, PA")</f>
        <v>Generic - License Renewal of Nuclear Plants, Supplement 36 to NUREG-1437, Regarding Beaver Valley Power Station, Units 1 and 2, Plant -Specific, Issuing Nuclear Power Plant Operating License for an Additional 20-Year Period, PA</v>
      </c>
      <c r="F22" s="16" t="str">
        <f>HYPERLINK("http://adamswebsearch2.nrc.gov/idmws/doccontent.dll?library=PU_ADAMS^PBNTAD01&amp;ID=091340356","233, 245")</f>
        <v>233, 245</v>
      </c>
      <c r="G22" s="16"/>
      <c r="H22" s="16"/>
      <c r="I22" s="18" t="s">
        <v>108</v>
      </c>
      <c r="J22" s="18"/>
      <c r="K22" s="18"/>
      <c r="L22" s="18"/>
      <c r="M22" s="18"/>
      <c r="N22" s="18"/>
      <c r="O22" s="17" t="s">
        <v>46</v>
      </c>
    </row>
    <row r="23" spans="1:15" ht="24">
      <c r="A23" s="98">
        <v>39941</v>
      </c>
      <c r="B23" s="32" t="s">
        <v>213</v>
      </c>
      <c r="C23" s="14" t="s">
        <v>199</v>
      </c>
      <c r="D23" s="14" t="s">
        <v>154</v>
      </c>
      <c r="E23" s="39" t="str">
        <f>HYPERLINK("http://www.lakebeltseis.com/library.htm#2009","Rock Mining in the Lake Belt Region Plan, Continuance of Limestone Mining Construction, Section 404 Permit, Miami-Dade County, FL")</f>
        <v>Rock Mining in the Lake Belt Region Plan, Continuance of Limestone Mining Construction, Section 404 Permit, Miami-Dade County, FL</v>
      </c>
      <c r="F23" s="16" t="str">
        <f>HYPERLINK("http://www.lakebeltseis.com/Final/Ch%203%20%20Lake%20Belt%20SEIS%20May%202009.pdf","213-4")</f>
        <v>213-4</v>
      </c>
      <c r="G23" s="16"/>
      <c r="H23" s="16"/>
      <c r="I23" s="18" t="s">
        <v>108</v>
      </c>
      <c r="J23" s="18"/>
      <c r="K23" s="18"/>
      <c r="L23" s="18"/>
      <c r="M23" s="18"/>
      <c r="N23" s="18"/>
      <c r="O23" s="17" t="s">
        <v>58</v>
      </c>
    </row>
    <row r="24" spans="1:15" ht="36">
      <c r="A24" s="98">
        <v>39941</v>
      </c>
      <c r="B24" s="45" t="s">
        <v>584</v>
      </c>
      <c r="C24" s="14" t="s">
        <v>200</v>
      </c>
      <c r="D24" s="14" t="s">
        <v>183</v>
      </c>
      <c r="E24" s="39" t="str">
        <f>HYPERLINK("http://www.ferc.gov/industries/gas/enviro/eis/2009/05-01-09-eis.asp","Jordan Cove Energy and Pacific Connector Gas Pipeline Project, Construction and Operation, Liquefied Natural Gas (LNG) Import Terminal and Natural Gas Pipeline Facilities, Coos, Douglas, Jackson and Klamath Counties, OR")</f>
        <v>Jordan Cove Energy and Pacific Connector Gas Pipeline Project, Construction and Operation, Liquefied Natural Gas (LNG) Import Terminal and Natural Gas Pipeline Facilities, Coos, Douglas, Jackson and Klamath Counties, OR</v>
      </c>
      <c r="F24" s="16" t="str">
        <f>HYPERLINK("http://elibrary.ferc.gov/idmws/common/OpenNat.asp?fileID=12004347","8-32")</f>
        <v>8-32</v>
      </c>
      <c r="G24" s="16"/>
      <c r="H24" s="16"/>
      <c r="I24" s="18" t="s">
        <v>108</v>
      </c>
      <c r="J24" s="18"/>
      <c r="K24" s="18"/>
      <c r="L24" s="18" t="s">
        <v>108</v>
      </c>
      <c r="M24" s="18"/>
      <c r="N24" s="18"/>
      <c r="O24" s="17" t="s">
        <v>24</v>
      </c>
    </row>
    <row r="25" spans="1:15" ht="36">
      <c r="A25" s="98">
        <v>39969</v>
      </c>
      <c r="B25" s="45" t="s">
        <v>584</v>
      </c>
      <c r="C25" s="14" t="s">
        <v>153</v>
      </c>
      <c r="D25" s="14" t="s">
        <v>178</v>
      </c>
      <c r="E25" s="39" t="str">
        <f>HYPERLINK("http://albertaclipper.state.gov/clientsite/clipper.nsf?Open","Alberta Clipper Pipeline Project, Application for a Presidential Permit to Construction, Operation and Maintenance of Facilities in ND, MN and WI")</f>
        <v>Alberta Clipper Pipeline Project, Application for a Presidential Permit to Construction, Operation and Maintenance of Facilities in ND, MN and WI</v>
      </c>
      <c r="F25" s="16" t="str">
        <f>HYPERLINK("http://www.albertaclipper.state.gov/clientsite/clipper.nsf/008.pdf?OpenFileResource","334, 400-403")</f>
        <v>334, 400-403</v>
      </c>
      <c r="G25" s="16"/>
      <c r="H25" s="16"/>
      <c r="I25" s="18" t="s">
        <v>108</v>
      </c>
      <c r="J25" s="18"/>
      <c r="K25" s="18"/>
      <c r="L25" s="18" t="s">
        <v>252</v>
      </c>
      <c r="M25" s="18"/>
      <c r="N25" s="18"/>
      <c r="O25" s="17" t="s">
        <v>43</v>
      </c>
    </row>
    <row r="26" spans="1:15" ht="36">
      <c r="A26" s="98">
        <v>39983</v>
      </c>
      <c r="B26" s="24" t="s">
        <v>209</v>
      </c>
      <c r="C26" s="14" t="s">
        <v>177</v>
      </c>
      <c r="D26" s="14" t="s">
        <v>222</v>
      </c>
      <c r="E26" s="15" t="s">
        <v>152</v>
      </c>
      <c r="F26" s="16" t="str">
        <f>HYPERLINK("http://a123.g.akamai.net/7/123/11558/abc123/forestservic.download.akamai.com/11558/www/nepa/39716_FSPLT2_022160.pdf","210-4")</f>
        <v>210-4</v>
      </c>
      <c r="G26" s="16"/>
      <c r="H26" s="16"/>
      <c r="I26" s="18" t="s">
        <v>108</v>
      </c>
      <c r="J26" s="18"/>
      <c r="K26" s="18"/>
      <c r="L26" s="18"/>
      <c r="M26" s="18"/>
      <c r="N26" s="18"/>
      <c r="O26" s="17" t="s">
        <v>33</v>
      </c>
    </row>
    <row r="27" spans="1:15" ht="60">
      <c r="A27" s="98">
        <v>39996</v>
      </c>
      <c r="B27" s="24" t="s">
        <v>209</v>
      </c>
      <c r="C27" s="14" t="s">
        <v>177</v>
      </c>
      <c r="D27" s="14" t="s">
        <v>190</v>
      </c>
      <c r="E27" s="15" t="s">
        <v>150</v>
      </c>
      <c r="F27" s="16" t="str">
        <f>HYPERLINK("http://www.fs.fed.us/r1/kootenai/projects/projects/miller-west-fisher/feis/MWF-FEIS.pdf","21-8")</f>
        <v>21-8</v>
      </c>
      <c r="G27" s="16"/>
      <c r="H27" s="16"/>
      <c r="I27" s="18"/>
      <c r="J27" s="18"/>
      <c r="K27" s="18"/>
      <c r="L27" s="18"/>
      <c r="M27" s="18" t="s">
        <v>108</v>
      </c>
      <c r="N27" s="18" t="s">
        <v>252</v>
      </c>
      <c r="O27" s="17" t="s">
        <v>29</v>
      </c>
    </row>
    <row r="28" spans="1:15" ht="36">
      <c r="A28" s="98">
        <v>40011</v>
      </c>
      <c r="B28" s="36" t="s">
        <v>208</v>
      </c>
      <c r="C28" s="14" t="s">
        <v>193</v>
      </c>
      <c r="D28" s="14" t="s">
        <v>202</v>
      </c>
      <c r="E28" s="39" t="str">
        <f>HYPERLINK("http://www.usbr.gov/uc/envdocs/eis/navgallup/FEIS/index.html","Navajo-Gallup Water Supply Project, To Provide a Long-Term (Year 2040) Water Supply, Treatment and Transmission of Municipal and Industrial (M&amp;I) Water to Navajo National and Jicarilla Apache Nation, City of Gallup, New Mexico")</f>
        <v>Navajo-Gallup Water Supply Project, To Provide a Long-Term (Year 2040) Water Supply, Treatment and Transmission of Municipal and Industrial (M&amp;I) Water to Navajo National and Jicarilla Apache Nation, City of Gallup, New Mexico</v>
      </c>
      <c r="F28" s="16" t="str">
        <f>HYPERLINK("http://www.usbr.gov/uc/envdocs/eis/navgallup/FEIS/vol1/ch5.pdf","144-5")</f>
        <v>144-5</v>
      </c>
      <c r="G28" s="16"/>
      <c r="H28" s="16"/>
      <c r="I28" s="18"/>
      <c r="J28" s="18"/>
      <c r="K28" s="18"/>
      <c r="L28" s="18"/>
      <c r="M28" s="18" t="s">
        <v>108</v>
      </c>
      <c r="N28" s="18" t="s">
        <v>252</v>
      </c>
      <c r="O28" s="17" t="s">
        <v>6</v>
      </c>
    </row>
    <row r="29" spans="1:15" ht="36">
      <c r="A29" s="98">
        <v>40025</v>
      </c>
      <c r="B29" s="79" t="s">
        <v>211</v>
      </c>
      <c r="C29" s="14" t="s">
        <v>187</v>
      </c>
      <c r="D29" s="14" t="s">
        <v>148</v>
      </c>
      <c r="E29" s="39" t="str">
        <f>HYPERLINK("http://www.dot.state.oh.us/projects/ClevelandUrbanCoreProjects/Innerbelt/Pages/FinalEnvironmentalImpactStatement.aspx","Cleveland Innerbelt Project, Proposing Major Rehabilitation and Reconstruction between I-71 and I-90, Cleveland Central Business District, Funding, City of Cleveland, Cuyahoga County, OH")</f>
        <v>Cleveland Innerbelt Project, Proposing Major Rehabilitation and Reconstruction between I-71 and I-90, Cleveland Central Business District, Funding, City of Cleveland, Cuyahoga County, OH</v>
      </c>
      <c r="F29" s="16" t="str">
        <f>HYPERLINK("http://www.dot.state.oh.us/projects/ClevelandUrbanCoreProjects/Innerbelt/FEIS/CIB%20FEIS%207-21-09.pdf","31")</f>
        <v>31</v>
      </c>
      <c r="G29" s="16"/>
      <c r="H29" s="16"/>
      <c r="I29" s="18"/>
      <c r="J29" s="18"/>
      <c r="K29" s="18"/>
      <c r="L29" s="18"/>
      <c r="M29" s="18" t="s">
        <v>108</v>
      </c>
      <c r="N29" s="18"/>
      <c r="O29" s="17" t="s">
        <v>40</v>
      </c>
    </row>
    <row r="30" spans="1:15" ht="24">
      <c r="A30" s="100">
        <v>40032</v>
      </c>
      <c r="B30" s="27" t="s">
        <v>32</v>
      </c>
      <c r="C30" s="14" t="s">
        <v>147</v>
      </c>
      <c r="D30" s="14" t="s">
        <v>176</v>
      </c>
      <c r="E30" s="39" t="str">
        <f>HYPERLINK("http://www.gsa.gov/Portal/gsa/ep/programView.do?pageTypeId=17109&amp;ooid=11872&amp;programPage=/ep/program/gsaDocument.jsp&amp;programId=14681&amp;channelId=-24351#San Ysidro Land Port of Entry Improvements Project Final Environmental Impact Statement Volume I","San Ysidro Land Port of Entry (LPOE) Improvement Project, Propose the Configuration and Expansion of the Existing (LPOE), San Ysidro, CA")</f>
        <v>San Ysidro Land Port of Entry (LPOE) Improvement Project, Propose the Configuration and Expansion of the Existing (LPOE), San Ysidro, CA</v>
      </c>
      <c r="F30" s="16" t="str">
        <f>HYPERLINK("http://www.gsa.gov/gsa/cm_attachments/GSA_DOCUMENT/San_Ysidro_FEIS_Chapter_3_Part_5_R2-u-p6-x_0Z5RDZ-i34K-pR.pdf","17-20")</f>
        <v>17-20</v>
      </c>
      <c r="G30" s="19"/>
      <c r="H30" s="16"/>
      <c r="I30" s="18"/>
      <c r="J30" s="18" t="s">
        <v>108</v>
      </c>
      <c r="K30" s="18" t="s">
        <v>108</v>
      </c>
      <c r="L30" s="18"/>
      <c r="M30" s="18"/>
      <c r="N30" s="18"/>
      <c r="O30" s="17" t="s">
        <v>56</v>
      </c>
    </row>
    <row r="31" spans="1:15" ht="24">
      <c r="A31" s="98">
        <v>40042</v>
      </c>
      <c r="B31" s="34" t="s">
        <v>212</v>
      </c>
      <c r="C31" s="14" t="s">
        <v>199</v>
      </c>
      <c r="D31" s="14" t="s">
        <v>186</v>
      </c>
      <c r="E31" s="15" t="s">
        <v>146</v>
      </c>
      <c r="F31" s="16" t="str">
        <f>HYPERLINK("http://www.nws.usace.army.mil/PublicMenu/documents/DMMO/CommBay_SEIS_Final_10-02-09.pdf ","141-3")</f>
        <v>141-3</v>
      </c>
      <c r="G31" s="16"/>
      <c r="H31" s="16"/>
      <c r="I31" s="18"/>
      <c r="J31" s="18"/>
      <c r="K31" s="18"/>
      <c r="L31" s="18"/>
      <c r="M31" s="18" t="s">
        <v>108</v>
      </c>
      <c r="N31" s="18"/>
      <c r="O31" s="17" t="s">
        <v>5</v>
      </c>
    </row>
    <row r="32" spans="1:15" ht="48">
      <c r="A32" s="98">
        <v>40042</v>
      </c>
      <c r="B32" s="57" t="s">
        <v>583</v>
      </c>
      <c r="C32" s="14" t="s">
        <v>191</v>
      </c>
      <c r="D32" s="14" t="s">
        <v>181</v>
      </c>
      <c r="E32" s="39" t="str">
        <f>HYPERLINK("http://www.blm.gov/pgdata/content/wy/en/info/NEPA/HighPlains/SouthGillette.html","South Gillette Area Coal Lease Applications, WYW172585, WYW173360, WYW172657,WYW161248, Proposal to Lease Four Tracts of Federal Coal Reserves, Belle Ayr, Coal Creek, Caballo, and Cordero Rojo Mines, Wyoming Powder River Basin, Campbell County, WY")</f>
        <v>South Gillette Area Coal Lease Applications, WYW172585, WYW173360, WYW172657,WYW161248, Proposal to Lease Four Tracts of Federal Coal Reserves, Belle Ayr, Coal Creek, Caballo, and Cordero Rojo Mines, Wyoming Powder River Basin, Campbell County, WY</v>
      </c>
      <c r="F32" s="16" t="str">
        <f>HYPERLINK("http://www.blm.gov/pgdata/etc/medialib/blm/wy/information/NEPA/hpdo/south_gillette/feis.Par.57426.File.dat/vol1.pdf","447-50")</f>
        <v>447-50</v>
      </c>
      <c r="G32" s="19"/>
      <c r="H32" s="16"/>
      <c r="I32" s="18" t="s">
        <v>108</v>
      </c>
      <c r="J32" s="18" t="s">
        <v>108</v>
      </c>
      <c r="K32" s="18" t="s">
        <v>108</v>
      </c>
      <c r="L32" s="18"/>
      <c r="M32" s="18"/>
      <c r="N32" s="18"/>
      <c r="O32" s="17" t="s">
        <v>57</v>
      </c>
    </row>
    <row r="33" spans="1:15" ht="24">
      <c r="A33" s="98">
        <v>40046</v>
      </c>
      <c r="B33" s="33" t="s">
        <v>212</v>
      </c>
      <c r="C33" s="14" t="s">
        <v>199</v>
      </c>
      <c r="D33" s="14" t="s">
        <v>176</v>
      </c>
      <c r="E33" s="39" t="str">
        <f>HYPERLINK("http://www.safca.org/Programs_Natomas.html","Natomas Levee Improvement Program, Phase 3 Landside Improvements Project, Issuance of Section 408 and 404 Permits, Sacramento and Sutter Counties, CA")</f>
        <v>Natomas Levee Improvement Program, Phase 3 Landside Improvements Project, Issuance of Section 408 and 404 Permits, Sacramento and Sutter Counties, CA</v>
      </c>
      <c r="F33" s="16" t="str">
        <f>HYPERLINK("http://www.safca.org/documents/NLIP%20main%20page%20stuff/09AUG21.Phase3FEISWR.D/Phase3FEIS82109.pdf ","420-2")</f>
        <v>420-2</v>
      </c>
      <c r="G33" s="16"/>
      <c r="H33" s="16"/>
      <c r="I33" s="18"/>
      <c r="J33" s="18"/>
      <c r="K33" s="18"/>
      <c r="L33" s="18" t="s">
        <v>108</v>
      </c>
      <c r="M33" s="18"/>
      <c r="N33" s="18"/>
      <c r="O33" s="17" t="s">
        <v>19</v>
      </c>
    </row>
    <row r="34" spans="1:15" ht="36">
      <c r="A34" s="98">
        <v>40046</v>
      </c>
      <c r="B34" s="26" t="s">
        <v>582</v>
      </c>
      <c r="C34" s="14" t="s">
        <v>196</v>
      </c>
      <c r="D34" s="14" t="s">
        <v>185</v>
      </c>
      <c r="E34" s="39" t="str">
        <f>HYPERLINK("http://www.fws.gov/desertcomplex/ccp.htm","Desert National Wildlife Refuge Complex, Ash Meadows, Desert, Moapa Valley, and Pahranagat National Wildlife Refuges, Comprehensive Conservation Plan, Implementation, Clark, Lincoln, and Nye Counties, NV")</f>
        <v>Desert National Wildlife Refuge Complex, Ash Meadows, Desert, Moapa Valley, and Pahranagat National Wildlife Refuges, Comprehensive Conservation Plan, Implementation, Clark, Lincoln, and Nye Counties, NV</v>
      </c>
      <c r="F34" s="16" t="str">
        <f>HYPERLINK("http://www.fws.gov/desertcomplex/pdf/06_Final_CCP-EIS_Ch4_20090814.pdf ","6-7")</f>
        <v>6-7</v>
      </c>
      <c r="G34" s="16"/>
      <c r="H34" s="16"/>
      <c r="I34" s="18"/>
      <c r="J34" s="18"/>
      <c r="K34" s="18"/>
      <c r="L34" s="18"/>
      <c r="M34" s="18" t="s">
        <v>108</v>
      </c>
      <c r="N34" s="18" t="s">
        <v>252</v>
      </c>
      <c r="O34" s="17" t="s">
        <v>98</v>
      </c>
    </row>
    <row r="35" spans="1:15" ht="36">
      <c r="A35" s="98">
        <v>40046</v>
      </c>
      <c r="B35" s="45" t="s">
        <v>214</v>
      </c>
      <c r="C35" s="14" t="s">
        <v>205</v>
      </c>
      <c r="D35" s="14" t="s">
        <v>182</v>
      </c>
      <c r="E35" s="39" t="str">
        <f>HYPERLINK("http://www.rtd-fastracks.com/gl_116","Gold Line Corridor Project, Development of Fixed-Guideway Transit Improvements, from Denver Union Station to Ward Road in Wheat Ridge, Implementation, City and County of Denver, Adams, Arvada, Wheat Ridge, and Jefferson Counties, CO")</f>
        <v>Gold Line Corridor Project, Development of Fixed-Guideway Transit Improvements, from Denver Union Station to Ward Road in Wheat Ridge, Implementation, City and County of Denver, Adams, Arvada, Wheat Ridge, and Jefferson Counties, CO</v>
      </c>
      <c r="F35" s="16" t="str">
        <f>HYPERLINK("http://www.rtd-fastracks.com/media/uploads/gl/FEIS_Vol1_510_Ch37_part10.pdf","7, 14-5")</f>
        <v>7, 14-5</v>
      </c>
      <c r="G35" s="16"/>
      <c r="H35" s="16"/>
      <c r="I35" s="18"/>
      <c r="J35" s="18" t="s">
        <v>108</v>
      </c>
      <c r="K35" s="18" t="s">
        <v>108</v>
      </c>
      <c r="L35" s="18"/>
      <c r="M35" s="18"/>
      <c r="N35" s="18"/>
      <c r="O35" s="17" t="s">
        <v>65</v>
      </c>
    </row>
    <row r="36" spans="1:15" ht="48">
      <c r="A36" s="98">
        <v>40051</v>
      </c>
      <c r="B36" s="28" t="s">
        <v>210</v>
      </c>
      <c r="C36" s="14" t="s">
        <v>179</v>
      </c>
      <c r="D36" s="14" t="s">
        <v>203</v>
      </c>
      <c r="E36" s="15" t="s">
        <v>151</v>
      </c>
      <c r="F36" s="16" t="str">
        <f>HYPERLINK("http://nepa.energy.gov/EIS-0377_F_Volume1_Chapter4.pdf","24-33")</f>
        <v>24-33</v>
      </c>
      <c r="G36" s="16"/>
      <c r="H36" s="19"/>
      <c r="I36" s="21" t="s">
        <v>108</v>
      </c>
      <c r="J36" s="21"/>
      <c r="K36" s="21" t="s">
        <v>108</v>
      </c>
      <c r="L36" s="21"/>
      <c r="M36" s="21"/>
      <c r="N36" s="21"/>
      <c r="O36" s="17" t="s">
        <v>116</v>
      </c>
    </row>
    <row r="37" spans="1:15" ht="48">
      <c r="A37" s="100">
        <v>40053</v>
      </c>
      <c r="B37" s="25" t="s">
        <v>164</v>
      </c>
      <c r="C37" s="14" t="s">
        <v>231</v>
      </c>
      <c r="D37" s="14" t="s">
        <v>234</v>
      </c>
      <c r="E37" s="15" t="s">
        <v>221</v>
      </c>
      <c r="F37" s="16" t="str">
        <f>HYPERLINK("http://www.epa.gov/region8/compliance/nepa/tatdeis/TAT_FEIS_Chapt4.pdf ","116-20")</f>
        <v>116-20</v>
      </c>
      <c r="G37" s="16"/>
      <c r="H37" s="16"/>
      <c r="I37" s="18" t="s">
        <v>108</v>
      </c>
      <c r="J37" s="18"/>
      <c r="K37" s="18"/>
      <c r="L37" s="18"/>
      <c r="M37" s="18" t="s">
        <v>108</v>
      </c>
      <c r="N37" s="18" t="s">
        <v>252</v>
      </c>
      <c r="O37" s="17" t="s">
        <v>14</v>
      </c>
    </row>
    <row r="38" spans="1:15" ht="24">
      <c r="A38" s="98">
        <v>40053</v>
      </c>
      <c r="B38" s="79" t="s">
        <v>211</v>
      </c>
      <c r="C38" s="14" t="s">
        <v>187</v>
      </c>
      <c r="D38" s="14" t="s">
        <v>184</v>
      </c>
      <c r="E38" s="39" t="str">
        <f>HYPERLINK("http://www.udot.utah.gov/geneva/feis.php","Geneva Road, Center Street/1600 West (Provo) to Geneva Road/SR-89 (Pleasant Grove), Improvements, US Army COE 404 Permit, Utah County, UT")</f>
        <v>Geneva Road, Center Street/1600 West (Provo) to Geneva Road/SR-89 (Pleasant Grove), Improvements, US Army COE 404 Permit, Utah County, UT</v>
      </c>
      <c r="F38" s="16" t="str">
        <f>HYPERLINK("http://www.udot.utah.gov/geneva/downloads/feis/FINAL%20Chapter%203.pdf ","188-9")</f>
        <v>188-9</v>
      </c>
      <c r="G38" s="16"/>
      <c r="H38" s="16"/>
      <c r="I38" s="18"/>
      <c r="J38" s="18"/>
      <c r="K38" s="18" t="s">
        <v>108</v>
      </c>
      <c r="L38" s="18"/>
      <c r="M38" s="18"/>
      <c r="N38" s="18"/>
      <c r="O38" s="17" t="s">
        <v>1</v>
      </c>
    </row>
    <row r="39" spans="1:15" ht="48">
      <c r="A39" s="98">
        <v>40053</v>
      </c>
      <c r="B39" s="26" t="s">
        <v>582</v>
      </c>
      <c r="C39" s="14" t="s">
        <v>225</v>
      </c>
      <c r="D39" s="14" t="s">
        <v>174</v>
      </c>
      <c r="E39" s="39" t="str">
        <f>HYPERLINK("http://parkplanning.nps.gov/document.cfm?parkID=65&amp;projectId=10959&amp;documentID=28935","Fire Management Plan, Management of Wildland and Prescribed Fire, Protection of Human Life and Property Restoration and Maintence of Fire Dependent Ecosystems, and Reduction of Hazardous Fuels, Grand Canyon National Park, Coconino County, AZ")</f>
        <v>Fire Management Plan, Management of Wildland and Prescribed Fire, Protection of Human Life and Property Restoration and Maintence of Fire Dependent Ecosystems, and Reduction of Hazardous Fuels, Grand Canyon National Park, Coconino County, AZ</v>
      </c>
      <c r="F39" s="16" t="str">
        <f>HYPERLINK("http://parkplanning.nps.gov/showFile.cfm?projectId=10959&amp;docType=public&amp;MIMEType=application%252Fpdf&amp;filename=H%20%2D%20FMP%20Chapter%204%2Epdf&amp;clientFilename=H%20%2D%20FMP%20Chapter%204%2Epdf ","14-5")</f>
        <v>14-5</v>
      </c>
      <c r="G39" s="16"/>
      <c r="H39" s="16"/>
      <c r="I39" s="18"/>
      <c r="J39" s="18"/>
      <c r="K39" s="18"/>
      <c r="L39" s="18"/>
      <c r="M39" s="18" t="s">
        <v>108</v>
      </c>
      <c r="N39" s="18" t="s">
        <v>252</v>
      </c>
      <c r="O39" s="17" t="s">
        <v>52</v>
      </c>
    </row>
    <row r="40" spans="1:15" ht="48">
      <c r="A40" s="98">
        <v>40057</v>
      </c>
      <c r="B40" s="26" t="s">
        <v>162</v>
      </c>
      <c r="C40" s="14" t="s">
        <v>177</v>
      </c>
      <c r="D40" s="14" t="s">
        <v>183</v>
      </c>
      <c r="E40" s="15" t="str">
        <f>HYPERLINK("http://www.fs.fed.us/r6/centraloregon/projects/units/lookout/bigsummit_amp/index.shtml","Big Summit Allotment Management Plan, Proposes to Reauthorize Cattle Term Grazing Permits, Construct Range Improvements, and Restore Riparian Vegetation on Five Allotments, Lookout Mountain Ranger District, Ochoco National Forest, Crook County, OR")</f>
        <v>Big Summit Allotment Management Plan, Proposes to Reauthorize Cattle Term Grazing Permits, Construct Range Improvements, and Restore Riparian Vegetation on Five Allotments, Lookout Mountain Ranger District, Ochoco National Forest, Crook County, OR</v>
      </c>
      <c r="F40" s="16" t="str">
        <f>HYPERLINK("http://www.fs.fed.us/r6/centraloregon/projects/units/lookout/bigsummit_amp/bsumimit_2009_09_24_feis_final.pdf ","145-8, 186-7")</f>
        <v>145-8, 186-7</v>
      </c>
      <c r="G40" s="16"/>
      <c r="H40" s="16"/>
      <c r="I40" s="18" t="s">
        <v>252</v>
      </c>
      <c r="J40" s="18"/>
      <c r="K40" s="18"/>
      <c r="L40" s="18"/>
      <c r="M40" s="18" t="s">
        <v>108</v>
      </c>
      <c r="N40" s="18"/>
      <c r="O40" s="17" t="s">
        <v>71</v>
      </c>
    </row>
    <row r="41" spans="1:15" ht="36">
      <c r="A41" s="98">
        <v>40060</v>
      </c>
      <c r="B41" s="26" t="s">
        <v>582</v>
      </c>
      <c r="C41" s="14" t="s">
        <v>177</v>
      </c>
      <c r="D41" s="14" t="s">
        <v>178</v>
      </c>
      <c r="E41" s="39" t="str">
        <f>HYPERLINK("http://www.fs.fed.us/r5/inyo/projects/route_des/august-09/FEIS_Web_Posting/INF_Travel_Mgnt_FEIS.htm","Inyo National Forest Motorized Travel Management Project, Implementation, Inyo, Mono, Fresno, Madera and Tulare Counties, CA and Mineral and Esmeralda Counties, NV")</f>
        <v>Inyo National Forest Motorized Travel Management Project, Implementation, Inyo, Mono, Fresno, Madera and Tulare Counties, CA and Mineral and Esmeralda Counties, NV</v>
      </c>
      <c r="F41" s="16" t="str">
        <f>HYPERLINK("http://www.fs.fed.us/r5/inyo/projects/route_des/august-09/FEIS_Web_Posting/pdf/FINAL_FEIS_vol1_Chap_3_4.pdf ","160-1")</f>
        <v>160-1</v>
      </c>
      <c r="G41" s="16"/>
      <c r="H41" s="16"/>
      <c r="I41" s="18"/>
      <c r="J41" s="18"/>
      <c r="K41" s="18"/>
      <c r="L41" s="18"/>
      <c r="M41" s="18" t="s">
        <v>108</v>
      </c>
      <c r="N41" s="18" t="s">
        <v>252</v>
      </c>
      <c r="O41" s="17" t="s">
        <v>51</v>
      </c>
    </row>
    <row r="42" spans="1:15" ht="36">
      <c r="A42" s="98">
        <v>40060</v>
      </c>
      <c r="B42" s="44" t="s">
        <v>214</v>
      </c>
      <c r="C42" s="14" t="s">
        <v>205</v>
      </c>
      <c r="D42" s="14" t="s">
        <v>182</v>
      </c>
      <c r="E42" s="39" t="str">
        <f>HYPERLINK("http://www.eastcorridor.com/reports.html","East Corridor Project, Proposes Commuter Rail Transit from downtown Denver to International Airport (DIA), Denver, Adams, Arapahoe, Jefferson and Douglas Counties, CO")</f>
        <v>East Corridor Project, Proposes Commuter Rail Transit from downtown Denver to International Airport (DIA), Denver, Adams, Arapahoe, Jefferson and Douglas Counties, CO</v>
      </c>
      <c r="F42" s="16" t="str">
        <f>HYPERLINK("http://www.eastcorridor.com/FEIS/EastCorridorFEIS_Vol1_CoverAbstractTOC.pdf","9-10")</f>
        <v>9-10</v>
      </c>
      <c r="G42" s="16"/>
      <c r="H42" s="16"/>
      <c r="I42" s="18"/>
      <c r="J42" s="18" t="s">
        <v>108</v>
      </c>
      <c r="K42" s="18"/>
      <c r="L42" s="18"/>
      <c r="M42" s="18"/>
      <c r="N42" s="18"/>
      <c r="O42" s="17" t="s">
        <v>4</v>
      </c>
    </row>
    <row r="43" spans="1:15" ht="24">
      <c r="A43" s="98">
        <v>40067</v>
      </c>
      <c r="B43" s="43" t="s">
        <v>207</v>
      </c>
      <c r="C43" s="14" t="s">
        <v>188</v>
      </c>
      <c r="D43" s="14" t="s">
        <v>186</v>
      </c>
      <c r="E43" s="39" t="str">
        <f>HYPERLINK("http://www.nbkeis.gcsaic.com/finaleis.aspx","Naval Base Kitsap - Bangor, Construct and Operate a Swimmer Interdiction Security System (SISS), Silverdale Kitsap County, WA")</f>
        <v>Naval Base Kitsap - Bangor, Construct and Operate a Swimmer Interdiction Security System (SISS), Silverdale Kitsap County, WA</v>
      </c>
      <c r="F43" s="16" t="str">
        <f>HYPERLINK("http://www.nbkeis.gcsaic.com/documents/4%20SISS%20FEIS_4.0_EnvironmentalConsequences.pdf ","34, 48, 57, 66")</f>
        <v>34, 48, 57, 66</v>
      </c>
      <c r="G43" s="16"/>
      <c r="H43" s="16"/>
      <c r="I43" s="18" t="s">
        <v>108</v>
      </c>
      <c r="J43" s="18"/>
      <c r="K43" s="18"/>
      <c r="L43" s="18"/>
      <c r="M43" s="18"/>
      <c r="N43" s="18"/>
      <c r="O43" s="17" t="s">
        <v>13</v>
      </c>
    </row>
    <row r="44" spans="1:15" ht="42">
      <c r="A44" s="98">
        <v>40067</v>
      </c>
      <c r="B44" s="38" t="s">
        <v>95</v>
      </c>
      <c r="C44" s="14" t="s">
        <v>219</v>
      </c>
      <c r="D44" s="14" t="s">
        <v>178</v>
      </c>
      <c r="E44" s="63" t="s">
        <v>581</v>
      </c>
      <c r="F44" s="16" t="str">
        <f>HYPERLINK("http://www.faa.gov/about/office_org/headquarters_offices/ast/media/20090803_eppeis.pdf","168-76, 188-9, 241-2")</f>
        <v>168-76, 188-9, 241-2</v>
      </c>
      <c r="G44" s="16"/>
      <c r="H44" s="16"/>
      <c r="I44" s="18" t="s">
        <v>108</v>
      </c>
      <c r="J44" s="18"/>
      <c r="K44" s="18"/>
      <c r="L44" s="18"/>
      <c r="M44" s="18"/>
      <c r="N44" s="18"/>
      <c r="O44" s="17" t="s">
        <v>62</v>
      </c>
    </row>
    <row r="45" spans="1:15" ht="24">
      <c r="A45" s="98">
        <v>40067</v>
      </c>
      <c r="B45" s="43" t="s">
        <v>207</v>
      </c>
      <c r="C45" s="14" t="s">
        <v>201</v>
      </c>
      <c r="D45" s="14" t="s">
        <v>197</v>
      </c>
      <c r="E45" s="39" t="str">
        <f>HYPERLINK("http://www.usarak.army.mil/conservation/NEPA_Final_Aviation_EIS.htm","U.S. Army Alaska (USARAK) Project, Proposes the Stationing and Training of Increased Aviation Assts, Fort Wainwright, Fairbank, AK")</f>
        <v>U.S. Army Alaska (USARAK) Project, Proposes the Stationing and Training of Increased Aviation Assts, Fort Wainwright, Fairbank, AK</v>
      </c>
      <c r="F45" s="16" t="str">
        <f>HYPERLINK("http://www.usarak.army.mil/conservation/Aviation_EIS/Final/6_Chapter_4_Environmental_and_Socio_Consequences.pdf ","115-6")</f>
        <v>115-6</v>
      </c>
      <c r="G45" s="16"/>
      <c r="H45" s="16"/>
      <c r="I45" s="18" t="s">
        <v>108</v>
      </c>
      <c r="J45" s="18"/>
      <c r="K45" s="18"/>
      <c r="L45" s="18"/>
      <c r="M45" s="18"/>
      <c r="N45" s="18"/>
      <c r="O45" s="17" t="s">
        <v>70</v>
      </c>
    </row>
    <row r="46" spans="1:15" ht="24">
      <c r="A46" s="98">
        <v>40074</v>
      </c>
      <c r="B46" s="26" t="s">
        <v>582</v>
      </c>
      <c r="C46" s="14" t="s">
        <v>196</v>
      </c>
      <c r="D46" s="14" t="s">
        <v>197</v>
      </c>
      <c r="E46" s="39" t="str">
        <f>HYPERLINK("http://alaska.fws.gov/nwr/planning/kenpol.htm","Kenai National Wildlife Refuge Draft Revised Comprehensive Conservation Plan, Implementation, AK")</f>
        <v>Kenai National Wildlife Refuge Draft Revised Comprehensive Conservation Plan, Implementation, AK</v>
      </c>
      <c r="F46" s="16" t="str">
        <f>HYPERLINK("http://alaska.fws.gov/nwr/planning/pdf/kenai_vol1/download.pdf ","248-9, 328-9")</f>
        <v>248-9, 328-9</v>
      </c>
      <c r="G46" s="16"/>
      <c r="H46" s="16"/>
      <c r="I46" s="18"/>
      <c r="J46" s="18"/>
      <c r="K46" s="18"/>
      <c r="L46" s="18"/>
      <c r="M46" s="18" t="s">
        <v>108</v>
      </c>
      <c r="N46" s="18" t="s">
        <v>252</v>
      </c>
      <c r="O46" s="17" t="s">
        <v>61</v>
      </c>
    </row>
    <row r="47" spans="1:15" ht="24">
      <c r="A47" s="98">
        <v>40081</v>
      </c>
      <c r="B47" s="44" t="s">
        <v>214</v>
      </c>
      <c r="C47" s="14" t="s">
        <v>204</v>
      </c>
      <c r="D47" s="14" t="s">
        <v>197</v>
      </c>
      <c r="E47" s="39" t="str">
        <f>HYPERLINK("http://www.stb.dot.gov/decisions/readingroom.nsf/fc695db5bc7ebe2c852572b80040c45f/86e5013e455643d48525751a0071fde4?OpenDocument ; http://www.stb.dot.gov/decisions/readingroom.nsf/WEBUNID/B251BCEF544F9AC8852576320066F351?OpenDocument","Northern Rail Extension Project, Construct and Operate a Rail Line between North Pole and Delta Junction, AK")</f>
        <v>Northern Rail Extension Project, Construct and Operate a Rail Line between North Pole and Delta Junction, AK</v>
      </c>
      <c r="F47" s="16" t="str">
        <f>HYPERLINK("http://www.stb.dot.gov/decisions/readingroom.nsf/UNID/B251BCEF544F9AC8852576320066F351/$file/Chapter_4_Errata_and_Other_Changes.pdf ","46")</f>
        <v>46</v>
      </c>
      <c r="G47" s="16" t="str">
        <f>HYPERLINK("http://www.stb.dot.gov/FD34658Files/Chapter_8_Climate_and_Air_Quality.pdf","9")</f>
        <v>9</v>
      </c>
      <c r="H47" s="16" t="str">
        <f>HYPERLINK("http://www.stb.dot.gov/FD34658Files/Chapter_17_Cumulative_Impacts.pdf","8-9")</f>
        <v>8-9</v>
      </c>
      <c r="I47" s="18" t="s">
        <v>108</v>
      </c>
      <c r="J47" s="18"/>
      <c r="K47" s="18"/>
      <c r="L47" s="18" t="s">
        <v>108</v>
      </c>
      <c r="M47" s="18" t="s">
        <v>108</v>
      </c>
      <c r="N47" s="18"/>
      <c r="O47" s="17" t="s">
        <v>64</v>
      </c>
    </row>
    <row r="48" spans="1:15" ht="36">
      <c r="A48" s="98">
        <v>40081</v>
      </c>
      <c r="B48" s="45" t="s">
        <v>584</v>
      </c>
      <c r="C48" s="14" t="s">
        <v>200</v>
      </c>
      <c r="D48" s="14" t="s">
        <v>178</v>
      </c>
      <c r="E48" s="39" t="str">
        <f>HYPERLINK("http://www.ferc.gov/industries/gas/enviro/eis/2009/09-18-09.asp","Phase VIII Expansion Project, Proposed to Construct, Own, Operate, and Maintain New Interstate National Gas Pipeline, Compressor, and Ancillary Facilities in Alabama and Florida")</f>
        <v>Phase VIII Expansion Project, Proposed to Construct, Own, Operate, and Maintain New Interstate National Gas Pipeline, Compressor, and Ancillary Facilities in Alabama and Florida</v>
      </c>
      <c r="F48" s="16" t="str">
        <f>HYPERLINK("http://elibrary.ferc.gov/idmws/common/OpenNat.asp?fileID=12149874 ","258-60")</f>
        <v>258-60</v>
      </c>
      <c r="G48" s="16"/>
      <c r="H48" s="16"/>
      <c r="I48" s="18" t="s">
        <v>108</v>
      </c>
      <c r="J48" s="18"/>
      <c r="K48" s="18"/>
      <c r="L48" s="18" t="s">
        <v>108</v>
      </c>
      <c r="M48" s="18"/>
      <c r="N48" s="18"/>
      <c r="O48" s="17" t="s">
        <v>23</v>
      </c>
    </row>
    <row r="49" spans="1:15" ht="36">
      <c r="A49" s="98">
        <v>40087</v>
      </c>
      <c r="B49" s="29" t="s">
        <v>210</v>
      </c>
      <c r="C49" s="14" t="s">
        <v>179</v>
      </c>
      <c r="D49" s="14" t="s">
        <v>203</v>
      </c>
      <c r="E49" s="39" t="str">
        <f>HYPERLINK("http://energyfacilities.puc.state.mn.us/resource.html?Id=25653","Mesaba Energy Project, Proposes to Design, Construct and Operate a Coal-Based Integrated Gasification Cycle(IGCC) Electric Power Generating Facility, Located in the Taconite Tax Relief Area (TTRA), Itasca and St. Louis Counties, MN")</f>
        <v>Mesaba Energy Project, Proposes to Design, Construct and Operate a Coal-Based Integrated Gasification Cycle(IGCC) Electric Power Generating Facility, Located in the Taconite Tax Relief Area (TTRA), Itasca and St. Louis Counties, MN</v>
      </c>
      <c r="F49" s="16" t="str">
        <f>HYPERLINK("http://energyfacilities.puc.state.mn.us/documents/16573/Mesaba-FEIS-Vol-1(page%201-341).pdf","176-182")</f>
        <v>176-182</v>
      </c>
      <c r="G49" s="16" t="str">
        <f>HYPERLINK("http://energyfacilities.puc.state.mn.us/documents/16573/Mesaba-FEIS-Vol-1(page%20873-960).pdf","7-12(FEIS pt. 2)")</f>
        <v>7-12(FEIS pt. 2)</v>
      </c>
      <c r="H49" s="16" t="str">
        <f>HYPERLINK("http://energyfacilities.puc.state.mn.us/documents/16573/Mesaba-FEIS-Vol-1(page%20602-872).pdf","223-232(FEIS pt. 3)")</f>
        <v>223-232(FEIS pt. 3)</v>
      </c>
      <c r="I49" s="18" t="s">
        <v>108</v>
      </c>
      <c r="J49" s="18"/>
      <c r="K49" s="18" t="s">
        <v>108</v>
      </c>
      <c r="L49" s="18" t="s">
        <v>108</v>
      </c>
      <c r="M49" s="18"/>
      <c r="N49" s="18"/>
      <c r="O49" s="17" t="s">
        <v>45</v>
      </c>
    </row>
    <row r="50" spans="1:15" ht="36">
      <c r="A50" s="98">
        <v>40088</v>
      </c>
      <c r="B50" s="45" t="s">
        <v>584</v>
      </c>
      <c r="C50" s="14" t="s">
        <v>200</v>
      </c>
      <c r="D50" s="14" t="s">
        <v>178</v>
      </c>
      <c r="E50" s="39" t="str">
        <f>HYPERLINK("http://www.ferc.gov/industries/gas/enviro/eis/2009/09-25-09.asp","Hubline/East to West Project, Proposes to Modify its Existing Natural Gas Transmission Pipeline System in MA, CT, RI and NJ")</f>
        <v>Hubline/East to West Project, Proposes to Modify its Existing Natural Gas Transmission Pipeline System in MA, CT, RI and NJ</v>
      </c>
      <c r="F50" s="16" t="str">
        <f>HYPERLINK("http://elibrary.ferc.gov/idmws/common/OpenNat.asp?fileID=12158027 ","65-6")</f>
        <v>65-6</v>
      </c>
      <c r="G50" s="16"/>
      <c r="H50" s="16"/>
      <c r="I50" s="18" t="s">
        <v>108</v>
      </c>
      <c r="J50" s="18"/>
      <c r="K50" s="18"/>
      <c r="L50" s="18" t="s">
        <v>108</v>
      </c>
      <c r="M50" s="18"/>
      <c r="N50" s="18"/>
      <c r="O50" s="17" t="s">
        <v>22</v>
      </c>
    </row>
    <row r="51" spans="1:15" ht="24">
      <c r="A51" s="98">
        <v>40095</v>
      </c>
      <c r="B51" s="35" t="s">
        <v>208</v>
      </c>
      <c r="C51" s="14" t="s">
        <v>193</v>
      </c>
      <c r="D51" s="14" t="s">
        <v>176</v>
      </c>
      <c r="E51" s="39" t="str">
        <f>HYPERLINK("http://www.usbr.gov/mp/nepa/nepa_projdetails.cfm?Project_ID=3513","Grassland Bypass Project 2010-2019 Project, Proposed new Use Agreement, San Joaquin River, CA")</f>
        <v>Grassland Bypass Project 2010-2019 Project, Proposed new Use Agreement, San Joaquin River, CA</v>
      </c>
      <c r="F51" s="16" t="str">
        <f>HYPERLINK("http://www.usbr.gov/mp/nepa/documentShow.cfm?Doc_ID=3516","316")</f>
        <v>316</v>
      </c>
      <c r="G51" s="16"/>
      <c r="H51" s="16"/>
      <c r="I51" s="18"/>
      <c r="J51" s="18" t="s">
        <v>108</v>
      </c>
      <c r="K51" s="18"/>
      <c r="L51" s="18"/>
      <c r="M51" s="18"/>
      <c r="N51" s="18"/>
      <c r="O51" s="17" t="s">
        <v>30</v>
      </c>
    </row>
    <row r="52" spans="1:15" ht="36">
      <c r="A52" s="98">
        <v>40095</v>
      </c>
      <c r="B52" s="32" t="s">
        <v>213</v>
      </c>
      <c r="C52" s="14" t="s">
        <v>231</v>
      </c>
      <c r="D52" s="14" t="s">
        <v>197</v>
      </c>
      <c r="E52" s="39" t="str">
        <f>HYPERLINK("http://www.reddogseis.com/Final_SEIS.asp","Red Dog Mine Extension - Aqqaluk Project, Reissuance Permit Applications for National Pollutant Discharge Elimination System (NPDES) Permit and New Information, Chukchi Sea, AK")</f>
        <v>Red Dog Mine Extension - Aqqaluk Project, Reissuance Permit Applications for National Pollutant Discharge Elimination System (NPDES) Permit and New Information, Chukchi Sea, AK</v>
      </c>
      <c r="F52" s="16" t="str">
        <f>HYPERLINK("http://www.reddogseis.com/Docs/Final/Chapter_3.pdf ","344-353")</f>
        <v>344-353</v>
      </c>
      <c r="G52" s="16"/>
      <c r="H52" s="16"/>
      <c r="I52" s="18" t="s">
        <v>108</v>
      </c>
      <c r="J52" s="18"/>
      <c r="K52" s="18"/>
      <c r="L52" s="18"/>
      <c r="M52" s="18" t="s">
        <v>108</v>
      </c>
      <c r="N52" s="18"/>
      <c r="O52" s="17" t="s">
        <v>80</v>
      </c>
    </row>
    <row r="53" spans="1:15" ht="24">
      <c r="A53" s="98">
        <v>40102</v>
      </c>
      <c r="B53" s="42" t="s">
        <v>207</v>
      </c>
      <c r="C53" s="14" t="s">
        <v>188</v>
      </c>
      <c r="D53" s="14" t="s">
        <v>178</v>
      </c>
      <c r="E53" s="39" t="str">
        <f>HYPERLINK("http://mv22eiswest.net/","West Coast Basing of the MV-22 Determining Basing Location(s) and Providing Efficient Training Operations, CA, AZ")</f>
        <v>West Coast Basing of the MV-22 Determining Basing Location(s) and Providing Efficient Training Operations, CA, AZ</v>
      </c>
      <c r="F53" s="16" t="str">
        <f>HYPERLINK("http://mv22eiswest.net/feis/MV-22_FEIS_Vol_II_Oct_2009.pdf ","359-60")</f>
        <v>359-60</v>
      </c>
      <c r="G53" s="16"/>
      <c r="H53" s="16"/>
      <c r="I53" s="18" t="s">
        <v>108</v>
      </c>
      <c r="J53" s="18"/>
      <c r="K53" s="18"/>
      <c r="L53" s="18"/>
      <c r="M53" s="18"/>
      <c r="N53" s="18"/>
      <c r="O53" s="17" t="s">
        <v>69</v>
      </c>
    </row>
    <row r="54" spans="1:15" ht="55.5">
      <c r="A54" s="98">
        <v>40116</v>
      </c>
      <c r="B54" s="30" t="s">
        <v>94</v>
      </c>
      <c r="C54" s="14" t="s">
        <v>235</v>
      </c>
      <c r="D54" s="14" t="s">
        <v>178</v>
      </c>
      <c r="E54" s="63" t="s">
        <v>585</v>
      </c>
      <c r="F54" s="16" t="str">
        <f>HYPERLINK("http://www.wpcouncil.org/documents/PEIS/NEPA%20Final%20PEIS%20with%20Appendices%20AU71%20FEPs%20(2009-09-24).pdf ","422-6")</f>
        <v>422-6</v>
      </c>
      <c r="G54" s="16"/>
      <c r="H54" s="16"/>
      <c r="I54" s="18"/>
      <c r="J54" s="18"/>
      <c r="K54" s="18"/>
      <c r="L54" s="18"/>
      <c r="M54" s="18" t="s">
        <v>108</v>
      </c>
      <c r="N54" s="18"/>
      <c r="O54" s="17" t="s">
        <v>38</v>
      </c>
    </row>
    <row r="55" spans="1:15" ht="36">
      <c r="A55" s="101">
        <v>40118</v>
      </c>
      <c r="B55" s="30" t="s">
        <v>94</v>
      </c>
      <c r="C55" s="14" t="s">
        <v>235</v>
      </c>
      <c r="D55" s="14" t="s">
        <v>178</v>
      </c>
      <c r="E55" s="39" t="str">
        <f>HYPERLINK("http://sero.nmfs.noaa.gov/pr/endangered%20species/","Amendment 31 to the Fishery Management Plan for Reef Fish Resources, Addresses Bycatch of Sea Turtles in the Bottom Longline Component of the Reef Fish Fishery, Gulf of Mexico")</f>
        <v>Amendment 31 to the Fishery Management Plan for Reef Fish Resources, Addresses Bycatch of Sea Turtles in the Bottom Longline Component of the Reef Fish Fishery, Gulf of Mexico</v>
      </c>
      <c r="F55" s="16" t="str">
        <f>HYPERLINK("http://sero.nmfs.noaa.gov/pr/endangered%20species/Longline%20Reef%20Fish/DEIS_Amendment%2031.pdf","194, 196")</f>
        <v>194, 196</v>
      </c>
      <c r="G55" s="16"/>
      <c r="H55" s="16"/>
      <c r="I55" s="18"/>
      <c r="J55" s="18"/>
      <c r="K55" s="18"/>
      <c r="L55" s="18"/>
      <c r="M55" s="18" t="s">
        <v>108</v>
      </c>
      <c r="N55" s="18"/>
      <c r="O55" s="17" t="s">
        <v>28</v>
      </c>
    </row>
    <row r="56" spans="1:15" ht="42">
      <c r="A56" s="98">
        <v>40123</v>
      </c>
      <c r="B56" s="27" t="s">
        <v>32</v>
      </c>
      <c r="C56" s="14" t="s">
        <v>236</v>
      </c>
      <c r="D56" s="14" t="s">
        <v>186</v>
      </c>
      <c r="E56" s="63" t="s">
        <v>238</v>
      </c>
      <c r="F56" s="19"/>
      <c r="G56" s="64" t="str">
        <f>HYPERLINK("http://www.frbsf.org/news/releases/2009/PRINT-Federal_Reserve_DEIS_102609.pdf","113-122, 300-308")</f>
        <v>113-122, 300-308</v>
      </c>
      <c r="H56" s="19"/>
      <c r="I56" s="21"/>
      <c r="J56" s="21"/>
      <c r="K56" s="21"/>
      <c r="L56" s="21" t="s">
        <v>108</v>
      </c>
      <c r="M56" s="21"/>
      <c r="N56" s="21"/>
      <c r="O56" s="17" t="s">
        <v>72</v>
      </c>
    </row>
    <row r="57" spans="1:15" ht="60">
      <c r="A57" s="98">
        <v>40130</v>
      </c>
      <c r="B57" s="32" t="s">
        <v>213</v>
      </c>
      <c r="C57" s="14" t="s">
        <v>191</v>
      </c>
      <c r="D57" s="14" t="s">
        <v>185</v>
      </c>
      <c r="E57" s="15" t="s">
        <v>247</v>
      </c>
      <c r="F57" s="16" t="str">
        <f>HYPERLINK("http://www.blm.gov/pgdata/etc/medialib/blm/nv/field_offices/ely_field_office/minerals/bald_mountain_north0/bmnafeis_texts.Par.58674.File.dat/0A%20-%20Body%20Complete.pdf","210-11")</f>
        <v>210-11</v>
      </c>
      <c r="G57" s="16"/>
      <c r="H57" s="16"/>
      <c r="I57" s="18"/>
      <c r="J57" s="18" t="s">
        <v>108</v>
      </c>
      <c r="K57" s="18"/>
      <c r="L57" s="18"/>
      <c r="M57" s="18"/>
      <c r="N57" s="18"/>
      <c r="O57" s="17" t="s">
        <v>79</v>
      </c>
    </row>
    <row r="58" spans="1:15" ht="36">
      <c r="A58" s="98">
        <v>40130</v>
      </c>
      <c r="B58" s="26" t="s">
        <v>582</v>
      </c>
      <c r="C58" s="14" t="s">
        <v>191</v>
      </c>
      <c r="D58" s="14" t="s">
        <v>176</v>
      </c>
      <c r="E58" s="39" t="str">
        <f>HYPERLINK("http://www.blm.gov/ca/st/en/fo/bakersfield/Programs/planning/cpnm_rmp.html","Carrizo Plain National Monument, Draft Resource Management Plan, Implementation, San Luis Obispo County and Portion of western Kern County,CA")</f>
        <v>Carrizo Plain National Monument, Draft Resource Management Plan, Implementation, San Luis Obispo County and Portion of western Kern County,CA</v>
      </c>
      <c r="F58" s="16" t="str">
        <f>HYPERLINK("http://www.blm.gov/pgdata/etc/medialib/blm/ca/pdf/bakersfield/carrizo.Par.71644.File.dat/CPNM_Proposed_RMP_FEIS_Vol1.pdf ","295, 385-7, 625-6, 668-9")</f>
        <v>295, 385-7, 625-6, 668-9</v>
      </c>
      <c r="G58" s="16"/>
      <c r="H58" s="16"/>
      <c r="I58" s="18" t="s">
        <v>108</v>
      </c>
      <c r="J58" s="18"/>
      <c r="K58" s="18"/>
      <c r="L58" s="18"/>
      <c r="M58" s="18" t="s">
        <v>108</v>
      </c>
      <c r="N58" s="18" t="s">
        <v>252</v>
      </c>
      <c r="O58" s="17" t="s">
        <v>50</v>
      </c>
    </row>
    <row r="59" spans="1:15" ht="48">
      <c r="A59" s="98">
        <v>40144</v>
      </c>
      <c r="B59" s="35" t="s">
        <v>208</v>
      </c>
      <c r="C59" s="14" t="s">
        <v>193</v>
      </c>
      <c r="D59" s="14" t="s">
        <v>176</v>
      </c>
      <c r="E59" s="39" t="str">
        <f>HYPERLINK("http://www.usbr.gov/mp/nepa/nepa_projdetails.cfm?Project_ID=1014","Delta-Mendota Canal/California Aqueduct Intertie Project, Construction and Operation of a Pumping Plant and Pipeline Connection, San Luis Delta-Mendota Water Authority Project, Central Valley Project, Alameda and San Joaquin Counties, CA")</f>
        <v>Delta-Mendota Canal/California Aqueduct Intertie Project, Construction and Operation of a Pumping Plant and Pipeline Connection, San Luis Delta-Mendota Water Authority Project, Central Valley Project, Alameda and San Joaquin Counties, CA</v>
      </c>
      <c r="F59" s="16" t="str">
        <f>HYPERLINK("http://www.usbr.gov/mp/nepa/documentShow.cfm?Doc_ID=4618 ","176-182")</f>
        <v>176-182</v>
      </c>
      <c r="G59" s="16"/>
      <c r="H59" s="16"/>
      <c r="I59" s="18" t="s">
        <v>108</v>
      </c>
      <c r="J59" s="18"/>
      <c r="K59" s="18"/>
      <c r="L59" s="18" t="s">
        <v>108</v>
      </c>
      <c r="M59" s="18"/>
      <c r="N59" s="18"/>
      <c r="O59" s="17" t="s">
        <v>53</v>
      </c>
    </row>
    <row r="60" spans="1:15" ht="36">
      <c r="A60" s="98">
        <v>40148</v>
      </c>
      <c r="B60" s="30" t="s">
        <v>94</v>
      </c>
      <c r="C60" s="14" t="s">
        <v>235</v>
      </c>
      <c r="D60" s="14" t="s">
        <v>197</v>
      </c>
      <c r="E60" s="39" t="str">
        <f>HYPERLINK("http://www.fakr.noaa.gov/Sustainablefisheries/bycatch/","Bering Sea Chinook Salmon Bycatch Management, Establish New Measures to Minimize Chinook Salmon Bycatch, To Amend the Fishery Management Plan, Implementation, Bering Sea Pollock Fishery, AK")</f>
        <v>Bering Sea Chinook Salmon Bycatch Management, Establish New Measures to Minimize Chinook Salmon Bycatch, To Amend the Fishery Management Plan, Implementation, Bering Sea Pollock Fishery, AK</v>
      </c>
      <c r="F60" s="16" t="str">
        <f>HYPERLINK("http://www.fakr.noaa.gov/Sustainablefisheries/bycatch/salmon/chinook/feis/eis_1209.pdf","255, 301, 466-7, 529-30")</f>
        <v>255, 301, 466-7, 529-30</v>
      </c>
      <c r="G60" s="16"/>
      <c r="H60" s="16"/>
      <c r="I60" s="18"/>
      <c r="J60" s="18"/>
      <c r="K60" s="18"/>
      <c r="L60" s="18"/>
      <c r="M60" s="18" t="s">
        <v>108</v>
      </c>
      <c r="N60" s="18"/>
      <c r="O60" s="17" t="s">
        <v>27</v>
      </c>
    </row>
    <row r="61" spans="1:15" ht="36">
      <c r="A61" s="98">
        <v>40151</v>
      </c>
      <c r="B61" s="78" t="s">
        <v>211</v>
      </c>
      <c r="C61" s="14" t="s">
        <v>187</v>
      </c>
      <c r="D61" s="14" t="s">
        <v>176</v>
      </c>
      <c r="E61" s="39" t="str">
        <f>HYPERLINK("http://www.pctpa.net/placerparkway/library/Final_Tier1_EIS_PEIR/contents.htm ; http://www.pctpa.net/placerparkway/library/Draft_Tier1_EIR_EIS/contents.htm","Partially Revised Tier 1 - Placer Parkway Corridor Preservation Project, Select and Preserve a Corridor for the Future Construction from CA-70/99 to CA 65, Placer and Sutter Counties, CA")</f>
        <v>Partially Revised Tier 1 - Placer Parkway Corridor Preservation Project, Select and Preserve a Corridor for the Future Construction from CA-70/99 to CA 65, Placer and Sutter Counties, CA</v>
      </c>
      <c r="F61" s="16" t="str">
        <f>HYPERLINK("http://www.pctpa.net/placerparkway/library/Final_Tier1_EIS_PEIR/4-0_Revisions_Draft_EIS-EIR.pdf","49-56")</f>
        <v>49-56</v>
      </c>
      <c r="G61" s="16" t="str">
        <f>HYPERLINK("http://www.pctpa.net/placerparkway/library/Draft_Tier1_EIR_EIS/VolumeI/4_9%20Air%20Quality.pdf","26-8")</f>
        <v>26-8</v>
      </c>
      <c r="H61" s="19"/>
      <c r="I61" s="21" t="s">
        <v>108</v>
      </c>
      <c r="J61" s="21"/>
      <c r="K61" s="21"/>
      <c r="L61" s="21"/>
      <c r="M61" s="21"/>
      <c r="N61" s="21"/>
      <c r="O61" s="17" t="s">
        <v>75</v>
      </c>
    </row>
    <row r="62" spans="1:15" ht="24">
      <c r="A62" s="99">
        <v>40171</v>
      </c>
      <c r="B62" s="42" t="s">
        <v>207</v>
      </c>
      <c r="C62" s="14" t="s">
        <v>201</v>
      </c>
      <c r="D62" s="14" t="s">
        <v>202</v>
      </c>
      <c r="E62" s="39" t="str">
        <f>HYPERLINK("http://www.wsmr.army.mil/wsmr.asp","White Sands Missile Range (WSMR), Development and Implementation of Range-Wide Mission and Major Capabilities, NM")</f>
        <v>White Sands Missile Range (WSMR), Development and Implementation of Range-Wide Mission and Major Capabilities, NM</v>
      </c>
      <c r="F62" s="16" t="str">
        <f>HYPERLINK("http://www.wsmr.army.mil/PDF/WSMR_EIS_Volume_I.pdf","464-8")</f>
        <v>464-8</v>
      </c>
      <c r="G62" s="16"/>
      <c r="H62" s="16"/>
      <c r="I62" s="18" t="s">
        <v>108</v>
      </c>
      <c r="J62" s="18" t="s">
        <v>108</v>
      </c>
      <c r="K62" s="18" t="s">
        <v>108</v>
      </c>
      <c r="L62" s="18"/>
      <c r="M62" s="18"/>
      <c r="N62" s="18"/>
      <c r="O62" s="17" t="s">
        <v>35</v>
      </c>
    </row>
    <row r="63" spans="1:15" ht="36">
      <c r="A63" s="99">
        <v>40171</v>
      </c>
      <c r="B63" s="26" t="s">
        <v>162</v>
      </c>
      <c r="C63" s="14" t="s">
        <v>177</v>
      </c>
      <c r="D63" s="14" t="s">
        <v>185</v>
      </c>
      <c r="E63" s="15" t="str">
        <f>HYPERLINK("http://www.fs.fed.us/r4/htnf/projects/jarbidge/range_feis/index.shtml","Jarbidge Ranger District Rangeland Management Project, Proposed Reauthorizing Grazing on 21 Existing Grazing Allotments, Humboldt Toiyabe National Forest, Elko County, NV")</f>
        <v>Jarbidge Ranger District Rangeland Management Project, Proposed Reauthorizing Grazing on 21 Existing Grazing Allotments, Humboldt Toiyabe National Forest, Elko County, NV</v>
      </c>
      <c r="F63" s="16" t="str">
        <f>HYPERLINK("http://www.fs.fed.us/r4/htnf/projects/jarbidge/range_feis/8_jarbidge_feis_chapter3.pdf ","108, 130-1")</f>
        <v>108, 130-1</v>
      </c>
      <c r="G63" s="16"/>
      <c r="H63" s="16"/>
      <c r="I63" s="18"/>
      <c r="J63" s="18"/>
      <c r="K63" s="18"/>
      <c r="L63" s="18"/>
      <c r="M63" s="18" t="s">
        <v>108</v>
      </c>
      <c r="N63" s="18" t="s">
        <v>252</v>
      </c>
      <c r="O63" s="17" t="s">
        <v>110</v>
      </c>
    </row>
    <row r="64" spans="1:15" ht="36">
      <c r="A64" s="98">
        <v>40178</v>
      </c>
      <c r="B64" s="34" t="s">
        <v>212</v>
      </c>
      <c r="C64" s="14" t="s">
        <v>187</v>
      </c>
      <c r="D64" s="14" t="s">
        <v>186</v>
      </c>
      <c r="E64" s="39" t="str">
        <f>HYPERLINK("http://your.kingcounty.gov/kcdot/roads/cip/addlInfo.aspx?CIPID=300197&amp;TopicPath=documents/FEIS_300197.inc","South Park Bridge Project, Proposes to Rehabilitate or Replace the Historic South Park Ridge over the Duwamish Waterway at 14th/16 Avenue S, US Coast Guard Permit and U.S. Army COE Section 10 and 404 Permits, King County, WA")</f>
        <v>South Park Bridge Project, Proposes to Rehabilitate or Replace the Historic South Park Ridge over the Duwamish Waterway at 14th/16 Avenue S, US Coast Guard Permit and U.S. Army COE Section 10 and 404 Permits, King County, WA</v>
      </c>
      <c r="F64" s="16" t="str">
        <f>HYPERLINK("http://your.kingcounty.gov/kcdot/roads/wcms/tigergrant/feis/southparkbridgefeis20091216.pdf","254-7")</f>
        <v>254-7</v>
      </c>
      <c r="G64" s="16"/>
      <c r="H64" s="16"/>
      <c r="I64" s="18"/>
      <c r="J64" s="18"/>
      <c r="K64" s="18"/>
      <c r="L64" s="18" t="s">
        <v>108</v>
      </c>
      <c r="M64" s="18"/>
      <c r="N64" s="18"/>
      <c r="O64" s="17" t="s">
        <v>18</v>
      </c>
    </row>
    <row r="65" spans="1:15" ht="48">
      <c r="A65" s="98">
        <v>40178</v>
      </c>
      <c r="B65" s="45" t="s">
        <v>584</v>
      </c>
      <c r="C65" s="14" t="s">
        <v>200</v>
      </c>
      <c r="D65" s="14" t="s">
        <v>178</v>
      </c>
      <c r="E65" s="39" t="str">
        <f>HYPERLINK("http://www.ferc.gov/industries/gas/enviro/eis/2009/12-29-09.asp","Bison Pipeline Project (Docket No. CP09-161-000), Construction, Operation, and Maintenance of Interstate Natural Gas Pipeline Facilities, Application for Right-of-Way Grant and Temporary Use Permit, NPDES Permit and US COE 404 Permit, WY, MT, and ND")</f>
        <v>Bison Pipeline Project (Docket No. CP09-161-000), Construction, Operation, and Maintenance of Interstate Natural Gas Pipeline Facilities, Application for Right-of-Way Grant and Temporary Use Permit, NPDES Permit and US COE 404 Permit, WY, MT, and ND</v>
      </c>
      <c r="F65" s="16" t="str">
        <f>HYPERLINK("http://elibrary.ferc.gov/idmws/common/OpenNat.asp?fileID=12229667 ","190, 220-1")</f>
        <v>190, 220-1</v>
      </c>
      <c r="G65" s="16"/>
      <c r="H65" s="16"/>
      <c r="I65" s="18" t="s">
        <v>108</v>
      </c>
      <c r="J65" s="18"/>
      <c r="K65" s="18"/>
      <c r="L65" s="18" t="s">
        <v>108</v>
      </c>
      <c r="M65" s="18"/>
      <c r="N65" s="18"/>
      <c r="O65" s="17" t="s">
        <v>42</v>
      </c>
    </row>
    <row r="66" spans="1:15" ht="48">
      <c r="A66" s="98">
        <v>40179</v>
      </c>
      <c r="B66" s="27" t="s">
        <v>32</v>
      </c>
      <c r="C66" s="14" t="s">
        <v>225</v>
      </c>
      <c r="D66" s="14" t="s">
        <v>176</v>
      </c>
      <c r="E66" s="39" t="str">
        <f>HYPERLINK("http://www.nps.gov/yose/parkmgmt/eecampus.htm","Yosemite National Park Project, Construction of Yosemite Institute Environment Education Campus, Implementation, Mariposa County, CA")</f>
        <v>Yosemite National Park Project, Construction of Yosemite Institute Environment Education Campus, Implementation, Mariposa County, CA</v>
      </c>
      <c r="F66" s="16" t="str">
        <f>HYPERLINK("http://www.nps.gov/yose/parkmgmt/upload/Final_EIS_011410.pdf","293-5")</f>
        <v>293-5</v>
      </c>
      <c r="G66" s="19"/>
      <c r="H66" s="16"/>
      <c r="I66" s="18" t="s">
        <v>108</v>
      </c>
      <c r="J66" s="18"/>
      <c r="K66" s="18" t="s">
        <v>108</v>
      </c>
      <c r="L66" s="18" t="s">
        <v>108</v>
      </c>
      <c r="M66" s="18" t="s">
        <v>108</v>
      </c>
      <c r="N66" s="18" t="s">
        <v>252</v>
      </c>
      <c r="O66" s="17" t="s">
        <v>113</v>
      </c>
    </row>
    <row r="67" spans="1:15" ht="36">
      <c r="A67" s="98">
        <v>40179</v>
      </c>
      <c r="B67" s="76" t="s">
        <v>163</v>
      </c>
      <c r="C67" s="14" t="s">
        <v>179</v>
      </c>
      <c r="D67" s="14" t="s">
        <v>243</v>
      </c>
      <c r="E67" s="39" t="str">
        <f>HYPERLINK("http://www.westvalleyeis.com/finaleis.htm","West Valley Demonstration Project and Western New York Nuclear Service Center Decommissioning and /or Long-Term Stewardship,(DOE/EIS-0226-D Revised) City of Buffalo, Eric and Cattaraugus Counties, NY")</f>
        <v>West Valley Demonstration Project and Western New York Nuclear Service Center Decommissioning and /or Long-Term Stewardship,(DOE/EIS-0226-D Revised) City of Buffalo, Eric and Cattaraugus Counties, NY</v>
      </c>
      <c r="F67" s="16" t="str">
        <f>HYPERLINK("http://www.westvalleyeis.com/final/EIS-0226_F-Chapter04.pdf ","152")</f>
        <v>152</v>
      </c>
      <c r="G67" s="16"/>
      <c r="H67" s="16"/>
      <c r="I67" s="18" t="s">
        <v>108</v>
      </c>
      <c r="J67" s="18"/>
      <c r="K67" s="18"/>
      <c r="L67" s="18"/>
      <c r="M67" s="18"/>
      <c r="N67" s="18"/>
      <c r="O67" s="17" t="s">
        <v>81</v>
      </c>
    </row>
    <row r="68" spans="1:15" ht="48">
      <c r="A68" s="98">
        <v>40200</v>
      </c>
      <c r="B68" s="24" t="s">
        <v>209</v>
      </c>
      <c r="C68" s="14" t="s">
        <v>177</v>
      </c>
      <c r="D68" s="14" t="s">
        <v>176</v>
      </c>
      <c r="E68" s="15" t="s">
        <v>244</v>
      </c>
      <c r="F68" s="16" t="str">
        <f>HYPERLINK("http://www.eddylsrproject.com/final_eis/Eddy%20Gulch%20LSR%20Project%20Final%20EIS-Jan_2010%20.pdf ","27, 104")</f>
        <v>27, 104</v>
      </c>
      <c r="G68" s="16"/>
      <c r="H68" s="16"/>
      <c r="I68" s="18"/>
      <c r="J68" s="18"/>
      <c r="K68" s="18"/>
      <c r="L68" s="18"/>
      <c r="M68" s="18" t="s">
        <v>108</v>
      </c>
      <c r="N68" s="18" t="s">
        <v>252</v>
      </c>
      <c r="O68" s="17" t="s">
        <v>12</v>
      </c>
    </row>
    <row r="69" spans="1:15" ht="36">
      <c r="A69" s="98">
        <v>40210</v>
      </c>
      <c r="B69" s="27" t="s">
        <v>32</v>
      </c>
      <c r="C69" s="14" t="s">
        <v>196</v>
      </c>
      <c r="D69" s="14" t="s">
        <v>197</v>
      </c>
      <c r="E69" s="39" t="str">
        <f>HYPERLINK("http://yukonflatseis.ensr.com/yukon_flats/documents_FEIS.htm","Yukon Flats National Wildlife Refuge Project, Proposed Federal and Public Land Exchange, Right-of-Way Grant, Anchorage, AK")</f>
        <v>Yukon Flats National Wildlife Refuge Project, Proposed Federal and Public Land Exchange, Right-of-Way Grant, Anchorage, AK</v>
      </c>
      <c r="F69" s="16" t="str">
        <f>HYPERLINK("http://yukonflatseis.ensr.com/Yukon.data/Docs/FEIS/Volume_1/10_Chapter_4_FEIS_(Feb_2010).pdf ","244-5")</f>
        <v>244-5</v>
      </c>
      <c r="G69" s="19"/>
      <c r="H69" s="16"/>
      <c r="I69" s="18"/>
      <c r="J69" s="18"/>
      <c r="K69" s="18"/>
      <c r="L69" s="18"/>
      <c r="M69" s="18" t="s">
        <v>108</v>
      </c>
      <c r="N69" s="18" t="s">
        <v>252</v>
      </c>
      <c r="O69" s="17" t="s">
        <v>112</v>
      </c>
    </row>
    <row r="70" spans="1:15" ht="48">
      <c r="A70" s="98">
        <v>40228</v>
      </c>
      <c r="B70" s="34" t="s">
        <v>212</v>
      </c>
      <c r="C70" s="14" t="s">
        <v>199</v>
      </c>
      <c r="D70" s="14" t="s">
        <v>176</v>
      </c>
      <c r="E70" s="39" t="str">
        <f>HYPERLINK("http://www.safca.org/Programs_Natomas.html","Natomas Levee Improvement Program Phase 4a Landside Improvement Project, Issuing of 408 Permission and 404 Permits, California Department of Water Resources (DWR) and the California Central Valley Flood Protection Board, Sutter and Sacramento Counties, CA")</f>
        <v>Natomas Levee Improvement Program Phase 4a Landside Improvement Project, Issuing of 408 Permission and 404 Permits, California Department of Water Resources (DWR) and the California Central Valley Flood Protection Board, Sutter and Sacramento Counties, CA</v>
      </c>
      <c r="F70" s="16" t="str">
        <f>HYPERLINK("http://www.safca.org/documents/NLIP%20main%20page%20stuff/2010FEB19.Phase4aFEIS/DocumentPart4.pdf","227-9")</f>
        <v>227-9</v>
      </c>
      <c r="G70" s="19"/>
      <c r="H70" s="16" t="str">
        <f>HYPERLINK("http://www.safca.org/documents/NLIP%20main%20page%20stuff/2010FEB19.Phase4aFEIS/Appx%20F.G.H.pdf","1-26")</f>
        <v>1-26</v>
      </c>
      <c r="I70" s="18"/>
      <c r="J70" s="18"/>
      <c r="K70" s="18" t="s">
        <v>108</v>
      </c>
      <c r="L70" s="18" t="s">
        <v>108</v>
      </c>
      <c r="M70" s="18"/>
      <c r="N70" s="18"/>
      <c r="O70" s="17" t="s">
        <v>17</v>
      </c>
    </row>
    <row r="71" spans="1:15" ht="36">
      <c r="A71" s="98">
        <v>40228</v>
      </c>
      <c r="B71" s="30" t="s">
        <v>94</v>
      </c>
      <c r="C71" s="14" t="s">
        <v>196</v>
      </c>
      <c r="D71" s="14" t="s">
        <v>176</v>
      </c>
      <c r="E71" s="39" t="str">
        <f>HYPERLINK("http://www.dfg.ca.gov/news/pubnotice/hatchery/","Hatchery and Stocking Program. Operation of 14 Trout Hatcheries and the Mad River Hatchery for the Anadromous Steelhead, Federal Funding, California Department of Fish and Game, CA")</f>
        <v>Hatchery and Stocking Program. Operation of 14 Trout Hatcheries and the Mad River Hatchery for the Anadromous Steelhead, Federal Funding, California Department of Fish and Game, CA</v>
      </c>
      <c r="F71" s="16" t="str">
        <f>HYPERLINK("http://nrm.dfg.ca.gov/FileHandler.ashx?DocumentID=15299 ","13-15, 27-40")</f>
        <v>13-15, 27-40</v>
      </c>
      <c r="G71" s="16"/>
      <c r="H71" s="16"/>
      <c r="I71" s="18"/>
      <c r="J71" s="18" t="s">
        <v>108</v>
      </c>
      <c r="K71" s="18" t="s">
        <v>108</v>
      </c>
      <c r="L71" s="18"/>
      <c r="M71" s="18" t="s">
        <v>108</v>
      </c>
      <c r="N71" s="18" t="s">
        <v>252</v>
      </c>
      <c r="O71" s="17" t="s">
        <v>37</v>
      </c>
    </row>
    <row r="72" spans="1:15" ht="48">
      <c r="A72" s="98">
        <v>40240</v>
      </c>
      <c r="B72" s="78" t="s">
        <v>211</v>
      </c>
      <c r="C72" s="14" t="s">
        <v>198</v>
      </c>
      <c r="D72" s="14" t="s">
        <v>178</v>
      </c>
      <c r="E72" s="39" t="str">
        <f>HYPERLINK("http://www.nhtsa.gov/Laws+&amp;+Regulations/CAFE+-+Fuel+Economy/Final+EIS+for+CAFE+Passenger+Cars+and+Light+Trucks,+Model+Years+2012-2016","Corporate Average Fuel Economy (CAFE) Standards Passenger Car and Light Trucks Model Years 2012-2016, To Reduce National Energy Consumption by Increasing the Fuel Economy of Passenger Car and Light Trucks sold in the United States, Implementation")</f>
        <v>Corporate Average Fuel Economy (CAFE) Standards Passenger Car and Light Trucks Model Years 2012-2016, To Reduce National Energy Consumption by Increasing the Fuel Economy of Passenger Car and Light Trucks sold in the United States, Implementation</v>
      </c>
      <c r="F72" s="16" t="str">
        <f>HYPERLINK("http://www.nhtsa.gov/staticfiles/rulemaking/pdf/cafe/MY2012-2016_FEIS.pdf","34-43, 186-236,    297-323")</f>
        <v>34-43, 186-236,    297-323</v>
      </c>
      <c r="G72" s="16"/>
      <c r="H72" s="16"/>
      <c r="I72" s="18" t="s">
        <v>108</v>
      </c>
      <c r="J72" s="18"/>
      <c r="K72" s="18"/>
      <c r="L72" s="18"/>
      <c r="M72" s="18"/>
      <c r="N72" s="18"/>
      <c r="O72" s="17" t="s">
        <v>68</v>
      </c>
    </row>
    <row r="73" spans="1:15" ht="36">
      <c r="A73" s="98">
        <v>40249</v>
      </c>
      <c r="B73" s="31" t="s">
        <v>209</v>
      </c>
      <c r="C73" s="14" t="s">
        <v>177</v>
      </c>
      <c r="D73" s="14" t="s">
        <v>176</v>
      </c>
      <c r="E73" s="39" t="str">
        <f>HYPERLINK("http://www.fs.fed.us/r5/eldorado/projects/freds/index.shtml","Freds Fire Reforestation Project, Implementation, EL Dorado National Forest, Placerville and Pacific Ranger Districts, El Dorado County, CA")</f>
        <v>Freds Fire Reforestation Project, Implementation, EL Dorado National Forest, Placerville and Pacific Ranger Districts, El Dorado County, CA</v>
      </c>
      <c r="F73" s="16" t="str">
        <f>HYPERLINK("http://www.fs.fed.us/r5/eldorado/documents/freds/freds_feis_no%20maps.pdf ","95-97")</f>
        <v>95-97</v>
      </c>
      <c r="G73" s="16"/>
      <c r="H73" s="16"/>
      <c r="I73" s="18" t="s">
        <v>108</v>
      </c>
      <c r="J73" s="18"/>
      <c r="K73" s="18"/>
      <c r="L73" s="18"/>
      <c r="M73" s="18" t="s">
        <v>108</v>
      </c>
      <c r="N73" s="18" t="s">
        <v>252</v>
      </c>
      <c r="O73" s="17" t="s">
        <v>103</v>
      </c>
    </row>
    <row r="74" spans="1:15" ht="36">
      <c r="A74" s="98">
        <v>40249</v>
      </c>
      <c r="B74" s="31" t="s">
        <v>209</v>
      </c>
      <c r="C74" s="14" t="s">
        <v>177</v>
      </c>
      <c r="D74" s="14" t="s">
        <v>183</v>
      </c>
      <c r="E74" s="39" t="str">
        <f>HYPERLINK("http://www.fs.fed.us/r6/centraloregon/projects/units/paulina/upperbeaver/index.shtml","Upper Beaver Creek Vegetation Management Project, Proposes to Implement Multiple Resource Management Actions, Pauline Ranger District, Ochoco National Forest, Crook County, OR")</f>
        <v>Upper Beaver Creek Vegetation Management Project, Proposes to Implement Multiple Resource Management Actions, Pauline Ranger District, Ochoco National Forest, Crook County, OR</v>
      </c>
      <c r="F74" s="16" t="str">
        <f>HYPERLINK("http://www.fs.fed.us/r6/centraloregon/projects/units/paulina/upperbeaver/march-2010/ubc_feis.pdf","89-91")</f>
        <v>89-91</v>
      </c>
      <c r="G74" s="16"/>
      <c r="H74" s="16"/>
      <c r="I74" s="18"/>
      <c r="J74" s="18"/>
      <c r="K74" s="18"/>
      <c r="L74" s="18"/>
      <c r="M74" s="18" t="s">
        <v>108</v>
      </c>
      <c r="N74" s="18" t="s">
        <v>252</v>
      </c>
      <c r="O74" s="17" t="s">
        <v>104</v>
      </c>
    </row>
    <row r="75" spans="1:15" ht="48">
      <c r="A75" s="98">
        <v>40256</v>
      </c>
      <c r="B75" s="26" t="s">
        <v>582</v>
      </c>
      <c r="C75" s="14" t="s">
        <v>196</v>
      </c>
      <c r="D75" s="14" t="s">
        <v>185</v>
      </c>
      <c r="E75" s="15" t="s">
        <v>0</v>
      </c>
      <c r="F75" s="16" t="str">
        <f>HYPERLINK("http://www.fws.gov/nevada/highlights/comment/slc/NOA_Final_EIS_and_HCP_2010MAR/VOL_1_EIS_Jan2010_Final.pdf","244, 248")</f>
        <v>244, 248</v>
      </c>
      <c r="G75" s="16"/>
      <c r="H75" s="16"/>
      <c r="I75" s="18"/>
      <c r="J75" s="18"/>
      <c r="K75" s="18"/>
      <c r="L75" s="18"/>
      <c r="M75" s="18" t="s">
        <v>108</v>
      </c>
      <c r="N75" s="18" t="s">
        <v>252</v>
      </c>
      <c r="O75" s="17" t="s">
        <v>60</v>
      </c>
    </row>
    <row r="76" spans="1:15" ht="48">
      <c r="A76" s="98">
        <v>40263</v>
      </c>
      <c r="B76" s="26" t="s">
        <v>582</v>
      </c>
      <c r="C76" s="14" t="s">
        <v>177</v>
      </c>
      <c r="D76" s="14" t="s">
        <v>176</v>
      </c>
      <c r="E76" s="15" t="s">
        <v>239</v>
      </c>
      <c r="F76" s="16" t="str">
        <f>HYPERLINK("http://a123.g.akamai.net/7/123/11558/abc123/forestservic.download.akamai.com/11558/www/nepa/46912_FSPLT1_026052.pdf ","158-9")</f>
        <v>158-9</v>
      </c>
      <c r="G76" s="16"/>
      <c r="H76" s="16"/>
      <c r="I76" s="18"/>
      <c r="J76" s="18"/>
      <c r="K76" s="18"/>
      <c r="L76" s="18"/>
      <c r="M76" s="18" t="s">
        <v>108</v>
      </c>
      <c r="N76" s="18" t="s">
        <v>252</v>
      </c>
      <c r="O76" s="17" t="s">
        <v>15</v>
      </c>
    </row>
    <row r="77" spans="1:15" ht="48">
      <c r="A77" s="98">
        <v>40270</v>
      </c>
      <c r="B77" s="24" t="s">
        <v>209</v>
      </c>
      <c r="C77" s="14" t="s">
        <v>177</v>
      </c>
      <c r="D77" s="14" t="s">
        <v>183</v>
      </c>
      <c r="E77" s="15" t="s">
        <v>10</v>
      </c>
      <c r="F77" s="16" t="str">
        <f>HYPERLINK("http://www.fs.fed.us/r6/centraloregon/projects/units/bendrock/exf/exf-feis-12mar2010/exf-feis.pdf ","261-3")</f>
        <v>261-3</v>
      </c>
      <c r="G77" s="16"/>
      <c r="H77" s="16"/>
      <c r="I77" s="18" t="s">
        <v>108</v>
      </c>
      <c r="J77" s="18"/>
      <c r="K77" s="18"/>
      <c r="L77" s="18"/>
      <c r="M77" s="18" t="s">
        <v>108</v>
      </c>
      <c r="N77" s="18" t="s">
        <v>252</v>
      </c>
      <c r="O77" s="17" t="s">
        <v>11</v>
      </c>
    </row>
    <row r="78" spans="1:15" ht="36">
      <c r="A78" s="98">
        <v>40270</v>
      </c>
      <c r="B78" s="78" t="s">
        <v>211</v>
      </c>
      <c r="C78" s="14" t="s">
        <v>187</v>
      </c>
      <c r="D78" s="14" t="s">
        <v>186</v>
      </c>
      <c r="E78" s="39" t="str">
        <f>HYPERLINK("http://www.wsdot.wa.gov/Projects/SR502/Widening/FEIS.htm","WA-502 Corridor Widening Project, Proposes Improvements to Five Miles of WA-502 (NE-219th Street) between NE 15th Avenue and NE 102nd Avenue, Funding, Clark County, WA")</f>
        <v>WA-502 Corridor Widening Project, Proposes Improvements to Five Miles of WA-502 (NE-219th Street) between NE 15th Avenue and NE 102nd Avenue, Funding, Clark County, WA</v>
      </c>
      <c r="F78" s="16" t="str">
        <f>HYPERLINK("http://www.wsdot.wa.gov/NR/rdonlyres/6823D7F0-7EAD-498F-A8B0-B54AC211D334/0/8_Chapter6_OtherConsiderations.pdf","1-2")</f>
        <v>1-2</v>
      </c>
      <c r="G78" s="16"/>
      <c r="H78" s="16"/>
      <c r="I78" s="18"/>
      <c r="J78" s="18"/>
      <c r="K78" s="18" t="s">
        <v>108</v>
      </c>
      <c r="L78" s="18"/>
      <c r="M78" s="18"/>
      <c r="N78" s="18"/>
      <c r="O78" s="17" t="s">
        <v>74</v>
      </c>
    </row>
    <row r="79" spans="1:15" ht="60">
      <c r="A79" s="98">
        <v>40277</v>
      </c>
      <c r="B79" s="35" t="s">
        <v>208</v>
      </c>
      <c r="C79" s="14" t="s">
        <v>193</v>
      </c>
      <c r="D79" s="14" t="s">
        <v>176</v>
      </c>
      <c r="E79" s="15" t="s">
        <v>233</v>
      </c>
      <c r="F79" s="16" t="str">
        <f>HYPERLINK("http://www.lvstudies.com/documentframeset.asp?docname=https://www.communicationsmgr.com/projects/losvaqueros/docs/3-Master%20Responses.pdf ","8, 160-166")</f>
        <v>8, 160-166</v>
      </c>
      <c r="G79" s="16" t="str">
        <f>HYPERLINK("http://www.lvstudies.com/documentframeset.asp?docname=https://www.communicationsmgr.com/projects/losvaqueros/docs/4-10_air%20quality.pdf","32-7")</f>
        <v>32-7</v>
      </c>
      <c r="H79" s="16" t="str">
        <f>HYPERLINK("http://www.lvstudies.com/documentframeset.asp?docname=https://www.communicationsmgr.com/projects/losvaqueros/docs/5_climate%20change.pdf ","ALL")</f>
        <v>ALL</v>
      </c>
      <c r="I79" s="18" t="s">
        <v>108</v>
      </c>
      <c r="J79" s="18" t="s">
        <v>108</v>
      </c>
      <c r="K79" s="18"/>
      <c r="L79" s="18" t="s">
        <v>108</v>
      </c>
      <c r="M79" s="18" t="s">
        <v>108</v>
      </c>
      <c r="N79" s="18" t="s">
        <v>252</v>
      </c>
      <c r="O79" s="17" t="s">
        <v>3</v>
      </c>
    </row>
    <row r="80" spans="1:15" ht="36">
      <c r="A80" s="98">
        <v>40277</v>
      </c>
      <c r="B80" s="78" t="s">
        <v>211</v>
      </c>
      <c r="C80" s="14" t="s">
        <v>187</v>
      </c>
      <c r="D80" s="14" t="s">
        <v>192</v>
      </c>
      <c r="E80" s="39" t="str">
        <f>HYPERLINK("http://itd.idaho.gov/Projects/garvee/D1/US95GarwoodtoSagleCorridor/FEIS.asp","US-95 Garwood to Sagle (from MP-438.4 to MP 469.75) Transportation Improvements to Present and Future Traffic Demand, Funding, NPDES Permit and US Army COE Section 404 Permit, Kootenai and Bonner Counties, ID")</f>
        <v>US-95 Garwood to Sagle (from MP-438.4 to MP 469.75) Transportation Improvements to Present and Future Traffic Demand, Funding, NPDES Permit and US Army COE Section 404 Permit, Kootenai and Bonner Counties, ID</v>
      </c>
      <c r="F80" s="16" t="str">
        <f>HYPERLINK("http://itd.idaho.gov/Projects/garvee/D1/US95GarwoodtoSagleCorridor/FEIS/4-Environmental_Consequences.pdf","138")</f>
        <v>138</v>
      </c>
      <c r="G80" s="16"/>
      <c r="H80" s="16"/>
      <c r="I80" s="18"/>
      <c r="J80" s="18"/>
      <c r="K80" s="18" t="s">
        <v>108</v>
      </c>
      <c r="L80" s="18"/>
      <c r="M80" s="18"/>
      <c r="N80" s="18"/>
      <c r="O80" s="17" t="s">
        <v>20</v>
      </c>
    </row>
    <row r="81" spans="1:15" ht="42">
      <c r="A81" s="98">
        <v>40284</v>
      </c>
      <c r="B81" s="44" t="s">
        <v>214</v>
      </c>
      <c r="C81" s="14" t="s">
        <v>195</v>
      </c>
      <c r="D81" s="14" t="s">
        <v>176</v>
      </c>
      <c r="E81" s="59" t="str">
        <f>HYPERLINK("http://www.vta.org/bart/finalEIS2010.html","Silicon Valley Rapid Transit Corridor Project, Proposes to Construct an Extension of the Bay Area Rapid Transit (BART) Rail System from Warm Spring Station in Fremont to Santa Clara County, CA")</f>
        <v>Silicon Valley Rapid Transit Corridor Project, Proposes to Construct an Extension of the Bay Area Rapid Transit (BART) Rail System from Warm Spring Station in Fremont to Santa Clara County, CA</v>
      </c>
      <c r="F81" s="64" t="str">
        <f>HYPERLINK("http://www.vta.org/bart/images/Environmental/final_eis/04%2001_AirQuality_AE%202.pdf ","4.1-1")</f>
        <v>4.1-1</v>
      </c>
      <c r="G81" s="16"/>
      <c r="H81" s="16"/>
      <c r="I81" s="18"/>
      <c r="J81" s="18"/>
      <c r="K81" s="18" t="s">
        <v>108</v>
      </c>
      <c r="L81" s="18"/>
      <c r="M81" s="18"/>
      <c r="N81" s="18"/>
      <c r="O81" s="17" t="s">
        <v>63</v>
      </c>
    </row>
    <row r="82" spans="1:15" ht="36">
      <c r="A82" s="98">
        <v>40294</v>
      </c>
      <c r="B82" s="32" t="s">
        <v>213</v>
      </c>
      <c r="C82" s="14" t="s">
        <v>191</v>
      </c>
      <c r="D82" s="14" t="s">
        <v>185</v>
      </c>
      <c r="E82" s="39" t="str">
        <f>HYPERLINK("http://www.blm.gov/nv/st/en/fo/battle_mountain_field/blm_information/national_environmental/rmgc_expansion_project.html","Round Mountain Expansion Project, Proposed to Construct and Operate and Expand the Existing Open-Pit Gold Mining and Processing Operations, north of the town of Tonopah in Nye County, NV")</f>
        <v>Round Mountain Expansion Project, Proposed to Construct and Operate and Expand the Existing Open-Pit Gold Mining and Processing Operations, north of the town of Tonopah in Nye County, NV</v>
      </c>
      <c r="F82" s="16" t="str">
        <f>HYPERLINK("http://www.blm.gov/pgdata/etc/medialib/blm/nv/field_offices/battle_mountain_field/blm_information/nepa/round_mountain_expansion0.Par.96688.File.dat/4.0_Environmental%20Consequences_508.pdf","97-8")</f>
        <v>97-8</v>
      </c>
      <c r="G82" s="16"/>
      <c r="H82" s="16"/>
      <c r="I82" s="18"/>
      <c r="J82" s="18" t="s">
        <v>108</v>
      </c>
      <c r="K82" s="18" t="s">
        <v>108</v>
      </c>
      <c r="L82" s="18"/>
      <c r="M82" s="18"/>
      <c r="N82" s="18"/>
      <c r="O82" s="17" t="s">
        <v>78</v>
      </c>
    </row>
    <row r="83" spans="1:15" ht="48">
      <c r="A83" s="98">
        <v>40294</v>
      </c>
      <c r="B83" s="35" t="s">
        <v>208</v>
      </c>
      <c r="C83" s="14" t="s">
        <v>193</v>
      </c>
      <c r="D83" s="14" t="s">
        <v>176</v>
      </c>
      <c r="E83" s="39" t="str">
        <f>HYPERLINK("http://www.usbr.gov/mp/nepa/nepa_projdetails.cfm?Project_ID=792","Lake Casitas Resource Management Plan (RMP), Implementation, Cities of Los Angeles and Ventura, Western Ventura County, CA")</f>
        <v>Lake Casitas Resource Management Plan (RMP), Implementation, Cities of Los Angeles and Ventura, Western Ventura County, CA</v>
      </c>
      <c r="F83" s="16" t="str">
        <f>HYPERLINK("http://www.usbr.gov/mp/nepa/documentShow.cfm?Doc_ID=5268 ","154-5")</f>
        <v>154-5</v>
      </c>
      <c r="G83" s="16"/>
      <c r="H83" s="16"/>
      <c r="I83" s="18"/>
      <c r="J83" s="18"/>
      <c r="K83" s="18" t="s">
        <v>108</v>
      </c>
      <c r="L83" s="18"/>
      <c r="M83" s="18" t="s">
        <v>108</v>
      </c>
      <c r="N83" s="18" t="s">
        <v>252</v>
      </c>
      <c r="O83" s="17" t="s">
        <v>2</v>
      </c>
    </row>
    <row r="84" spans="1:15" ht="36">
      <c r="A84" s="98">
        <v>40298</v>
      </c>
      <c r="B84" s="31" t="s">
        <v>209</v>
      </c>
      <c r="C84" s="14" t="s">
        <v>177</v>
      </c>
      <c r="D84" s="14" t="s">
        <v>183</v>
      </c>
      <c r="E84" s="39" t="str">
        <f>HYPERLINK("http://data.ecosystem-management.org/nepaweb/nepa_content.php?project=25602","Canyon Fuels and Vegetation Management Project, Proposed Fuels and Vegetation Treatment to Reduce the Risk of Stand Loss Due to Overly Dense Stand Conditions, Lookout Mountain Ranger District, Ochoco National Forest, Crook County, OR")</f>
        <v>Canyon Fuels and Vegetation Management Project, Proposed Fuels and Vegetation Treatment to Reduce the Risk of Stand Loss Due to Overly Dense Stand Conditions, Lookout Mountain Ranger District, Ochoco National Forest, Crook County, OR</v>
      </c>
      <c r="F84" s="16" t="str">
        <f>HYPERLINK("http://a123.g.akamai.net/7/123/11558/abc123/forestservic.download.akamai.com/11558/www/nepa/50403_FSPLT1_027893.pdf","208-9, 235-7")</f>
        <v>208-9, 235-7</v>
      </c>
      <c r="G84" s="16"/>
      <c r="H84" s="16"/>
      <c r="I84" s="18" t="s">
        <v>108</v>
      </c>
      <c r="J84" s="18"/>
      <c r="K84" s="18"/>
      <c r="L84" s="18"/>
      <c r="M84" s="18" t="s">
        <v>108</v>
      </c>
      <c r="N84" s="18" t="s">
        <v>252</v>
      </c>
      <c r="O84" s="17" t="s">
        <v>102</v>
      </c>
    </row>
    <row r="85" spans="1:15" ht="36">
      <c r="A85" s="98">
        <v>40298</v>
      </c>
      <c r="B85" s="26" t="s">
        <v>582</v>
      </c>
      <c r="C85" s="14" t="s">
        <v>177</v>
      </c>
      <c r="D85" s="14" t="s">
        <v>182</v>
      </c>
      <c r="E85" s="39" t="str">
        <f>HYPERLINK("http://www.fs.fed.us/r2/gmug/policy/travel_mgmt/gun/deis.shtml","Gunnison Basin Federal Lands Travel Management Project, To Address Travel Management on Federal Lands within the Upper Gunnison Basin and North Fork Valley, Implementation, Gunnison, Delta, Hinsdale and Saguache Counties, CO")</f>
        <v>Gunnison Basin Federal Lands Travel Management Project, To Address Travel Management on Federal Lands within the Upper Gunnison Basin and North Fork Valley, Implementation, Gunnison, Delta, Hinsdale and Saguache Counties, CO</v>
      </c>
      <c r="F85" s="16" t="str">
        <f>HYPERLINK("http://www.fs.fed.us/r2/gmug/policy/travel_mgmt/gun/FEIS/GMUG_TM_FEIS.pdf ","260-1")</f>
        <v>260-1</v>
      </c>
      <c r="G85" s="16"/>
      <c r="H85" s="16"/>
      <c r="I85" s="18" t="s">
        <v>108</v>
      </c>
      <c r="J85" s="18"/>
      <c r="K85" s="18"/>
      <c r="L85" s="18"/>
      <c r="M85" s="18" t="s">
        <v>108</v>
      </c>
      <c r="N85" s="18"/>
      <c r="O85" s="17" t="s">
        <v>49</v>
      </c>
    </row>
    <row r="86" spans="1:15" ht="36">
      <c r="A86" s="98">
        <v>40299</v>
      </c>
      <c r="B86" s="76" t="s">
        <v>163</v>
      </c>
      <c r="C86" s="14" t="s">
        <v>228</v>
      </c>
      <c r="D86" s="14" t="s">
        <v>227</v>
      </c>
      <c r="E86" s="39" t="str">
        <f>HYPERLINK("http://www.tva.gov/environment/reports/blnp/","Bellefonte Site Single Nuclear Unit Project, Proposes to Complete or Construct and Operate a Single 1,100 - 1, 200 MW Nuclear Generation Unit, Jackson County, AL")</f>
        <v>Bellefonte Site Single Nuclear Unit Project, Proposes to Complete or Construct and Operate a Single 1,100 - 1, 200 MW Nuclear Generation Unit, Jackson County, AL</v>
      </c>
      <c r="F86" s="16" t="str">
        <f>HYPERLINK("http://www.tva.gov/environment/reports/blnp/Volume%201/Final_BLN_FSEIS_Volume1.pdf ","241-8")</f>
        <v>241-8</v>
      </c>
      <c r="G86" s="16"/>
      <c r="H86" s="16"/>
      <c r="I86" s="18" t="s">
        <v>108</v>
      </c>
      <c r="J86" s="18"/>
      <c r="K86" s="18"/>
      <c r="L86" s="18"/>
      <c r="M86" s="18" t="s">
        <v>108</v>
      </c>
      <c r="N86" s="18" t="s">
        <v>252</v>
      </c>
      <c r="O86" s="17" t="s">
        <v>117</v>
      </c>
    </row>
    <row r="87" spans="1:15" ht="36">
      <c r="A87" s="98">
        <v>40312</v>
      </c>
      <c r="B87" s="33" t="s">
        <v>212</v>
      </c>
      <c r="C87" s="14" t="s">
        <v>193</v>
      </c>
      <c r="D87" s="14" t="s">
        <v>176</v>
      </c>
      <c r="E87" s="39" t="str">
        <f>HYPERLINK("http://www.usbr.gov/mp/nepa/nepa_projdetails.cfm?Project_ID=3472","Mormon Island Auxiliary Dam Modification Project, Addressing Hydrologic, Seismic, Static, and Flood Management Issues, Sacramento and El Dorado Counties, CA")</f>
        <v>Mormon Island Auxiliary Dam Modification Project, Addressing Hydrologic, Seismic, Static, and Flood Management Issues, Sacramento and El Dorado Counties, CA</v>
      </c>
      <c r="F87" s="16" t="str">
        <f>HYPERLINK("http://www.usbr.gov/mp/nepa/documentShow.cfm?Doc_ID=5580","91-2, 106")</f>
        <v>91-2, 106</v>
      </c>
      <c r="G87" s="16" t="str">
        <f>HYPERLINK("http://www.usbr.gov/mp/nepa/documentShow.cfm?Doc_ID=4660","15-28")</f>
        <v>15-28</v>
      </c>
      <c r="H87" s="16"/>
      <c r="I87" s="18"/>
      <c r="J87" s="18"/>
      <c r="K87" s="18" t="s">
        <v>108</v>
      </c>
      <c r="L87" s="18"/>
      <c r="M87" s="18"/>
      <c r="N87" s="18"/>
      <c r="O87" s="17" t="s">
        <v>16</v>
      </c>
    </row>
    <row r="88" spans="1:15" ht="36">
      <c r="A88" s="99">
        <v>40319</v>
      </c>
      <c r="B88" s="31" t="s">
        <v>209</v>
      </c>
      <c r="C88" s="14" t="s">
        <v>177</v>
      </c>
      <c r="D88" s="14" t="s">
        <v>178</v>
      </c>
      <c r="E88" s="39" t="str">
        <f>HYPERLINK("http://www.fs.fed.us/r6/w-w/projects/invasive-plants/index.shtml","Wallowa-Whitman National Forest Invasive Plants Treatment Project, To Protect Native Vegetation by Controlling, Containing, or Eradicating Invasive Plant, Wallowa, Baker, Malheur and Grant Counties , OR and Adams and Nez Perce Counties, ID")</f>
        <v>Wallowa-Whitman National Forest Invasive Plants Treatment Project, To Protect Native Vegetation by Controlling, Containing, or Eradicating Invasive Plant, Wallowa, Baker, Malheur and Grant Counties , OR and Adams and Nez Perce Counties, ID</v>
      </c>
      <c r="F88" s="16" t="str">
        <f>HYPERLINK("http://www.fs.fed.us/r6/w-w/projects/invasive-plants/invasive-plants-FEIS/FEIS-v-1-chapter-3.pdf","15-17")</f>
        <v>15-17</v>
      </c>
      <c r="G88" s="16"/>
      <c r="H88" s="16"/>
      <c r="I88" s="18"/>
      <c r="J88" s="18"/>
      <c r="K88" s="18"/>
      <c r="L88" s="18"/>
      <c r="M88" s="18" t="s">
        <v>108</v>
      </c>
      <c r="N88" s="18" t="s">
        <v>252</v>
      </c>
      <c r="O88" s="17" t="s">
        <v>101</v>
      </c>
    </row>
    <row r="89" spans="1:15" ht="48">
      <c r="A89" s="98">
        <v>40319</v>
      </c>
      <c r="B89" s="29" t="s">
        <v>210</v>
      </c>
      <c r="C89" s="14" t="s">
        <v>179</v>
      </c>
      <c r="D89" s="14" t="s">
        <v>180</v>
      </c>
      <c r="E89" s="39" t="str">
        <f>HYPERLINK("http://nepa.energy.gov/1445.htm","Kemper County Integrated Gasification Combined-Cycle (IGCC) Project, Construction and Operation of Advanced Power Generation Plant, U.S. Army COE Section 404 Permit, Kemper County, MS")</f>
        <v>Kemper County Integrated Gasification Combined-Cycle (IGCC) Project, Construction and Operation of Advanced Power Generation Plant, U.S. Army COE Section 404 Permit, Kemper County, MS</v>
      </c>
      <c r="F89" s="16" t="str">
        <f>HYPERLINK("http://nepa.energy.gov/Vol1_Ch6_FinalEIS-0409.pdf","2-9")</f>
        <v>2-9</v>
      </c>
      <c r="G89" s="19"/>
      <c r="H89" s="16"/>
      <c r="I89" s="18" t="s">
        <v>108</v>
      </c>
      <c r="J89" s="18"/>
      <c r="K89" s="18" t="s">
        <v>108</v>
      </c>
      <c r="L89" s="18" t="s">
        <v>108</v>
      </c>
      <c r="M89" s="18"/>
      <c r="N89" s="18"/>
      <c r="O89" s="20" t="s">
        <v>115</v>
      </c>
    </row>
    <row r="90" spans="1:15" ht="36">
      <c r="A90" s="98">
        <v>40326</v>
      </c>
      <c r="B90" s="35" t="s">
        <v>208</v>
      </c>
      <c r="C90" s="14" t="s">
        <v>193</v>
      </c>
      <c r="D90" s="14" t="s">
        <v>176</v>
      </c>
      <c r="E90" s="39" t="str">
        <f>HYPERLINK("http://www.usbr.gov/mp/nepa/nepa_projdetails.cfm?Project_ID=283","Cachuma Lake Resource Management Plan, Implementation, Cachuma Lake, Santa Barbara County, CA")</f>
        <v>Cachuma Lake Resource Management Plan, Implementation, Cachuma Lake, Santa Barbara County, CA</v>
      </c>
      <c r="F90" s="16" t="str">
        <f>HYPERLINK("http://www.usbr.gov/mp/nepa/documentShow.cfm?Doc_ID=5637","74, 165-6")</f>
        <v>74, 165-6</v>
      </c>
      <c r="G90" s="16"/>
      <c r="H90" s="16"/>
      <c r="I90" s="18"/>
      <c r="J90" s="18"/>
      <c r="K90" s="18"/>
      <c r="L90" s="18"/>
      <c r="M90" s="18" t="s">
        <v>108</v>
      </c>
      <c r="N90" s="18" t="s">
        <v>252</v>
      </c>
      <c r="O90" s="17" t="s">
        <v>66</v>
      </c>
    </row>
    <row r="91" spans="1:15" ht="84">
      <c r="A91" s="98">
        <v>40326</v>
      </c>
      <c r="B91" s="28" t="s">
        <v>210</v>
      </c>
      <c r="C91" s="14" t="s">
        <v>179</v>
      </c>
      <c r="D91" s="14" t="s">
        <v>224</v>
      </c>
      <c r="E91" s="39" t="str">
        <f>HYPERLINK("http://www.wapa.gov/transmission/deercreek.htm","Deer Creek Station Energy Facility Project, Proposed 300-megawatt (MW) Natural Gas-Fired Generation Facility, Brookings County, SD")</f>
        <v>Deer Creek Station Energy Facility Project, Proposed 300-megawatt (MW) Natural Gas-Fired Generation Facility, Brookings County, SD</v>
      </c>
      <c r="F91" s="16" t="str">
        <f>HYPERLINK("http://www.usda.gov/rus/water/ees/pdf/Basin%20Deer%20Creek%20FEIS.pdf","22-3")</f>
        <v>22-3</v>
      </c>
      <c r="G91" s="16" t="str">
        <f>HYPERLINK("http://www.wapa.gov/transmission/deercreek/DEIS-4.pdf","6-7, 89")</f>
        <v>6-7, 89</v>
      </c>
      <c r="H91" s="19"/>
      <c r="I91" s="21" t="s">
        <v>108</v>
      </c>
      <c r="J91" s="21"/>
      <c r="K91" s="21"/>
      <c r="L91" s="21"/>
      <c r="M91" s="21" t="s">
        <v>108</v>
      </c>
      <c r="N91" s="21" t="s">
        <v>252</v>
      </c>
      <c r="O91" s="17" t="s">
        <v>44</v>
      </c>
    </row>
    <row r="92" spans="1:15" ht="48">
      <c r="A92" s="98">
        <v>40326</v>
      </c>
      <c r="B92" s="32" t="s">
        <v>213</v>
      </c>
      <c r="C92" s="14" t="s">
        <v>191</v>
      </c>
      <c r="D92" s="14" t="s">
        <v>190</v>
      </c>
      <c r="E92" s="15" t="s">
        <v>223</v>
      </c>
      <c r="F92" s="16" t="str">
        <f>HYPERLINK("http://deq.mt.gov/eis/hardrock/Graymont/FINALeisGRAYMONTjan2010x.pdf ","57-60, 146-7")</f>
        <v>57-60, 146-7</v>
      </c>
      <c r="G92" s="16"/>
      <c r="H92" s="16"/>
      <c r="I92" s="18" t="s">
        <v>108</v>
      </c>
      <c r="J92" s="18"/>
      <c r="K92" s="18" t="s">
        <v>108</v>
      </c>
      <c r="L92" s="18"/>
      <c r="M92" s="18"/>
      <c r="N92" s="18"/>
      <c r="O92" s="17" t="s">
        <v>77</v>
      </c>
    </row>
    <row r="93" spans="1:15" ht="36">
      <c r="A93" s="100">
        <v>40330</v>
      </c>
      <c r="B93" s="27" t="s">
        <v>32</v>
      </c>
      <c r="C93" s="58" t="s">
        <v>199</v>
      </c>
      <c r="D93" s="58" t="s">
        <v>176</v>
      </c>
      <c r="E93" s="59" t="s">
        <v>502</v>
      </c>
      <c r="F93" s="16"/>
      <c r="G93" s="16" t="s">
        <v>503</v>
      </c>
      <c r="H93" s="16"/>
      <c r="I93" s="18" t="s">
        <v>252</v>
      </c>
      <c r="J93" s="18" t="s">
        <v>252</v>
      </c>
      <c r="K93" s="18" t="s">
        <v>252</v>
      </c>
      <c r="L93" s="18" t="s">
        <v>252</v>
      </c>
      <c r="M93" s="18" t="s">
        <v>252</v>
      </c>
      <c r="N93" s="18" t="s">
        <v>252</v>
      </c>
      <c r="O93" s="20" t="s">
        <v>504</v>
      </c>
    </row>
    <row r="94" spans="1:15" ht="27.75">
      <c r="A94" s="100">
        <v>40330</v>
      </c>
      <c r="B94" s="27" t="s">
        <v>32</v>
      </c>
      <c r="C94" s="58" t="s">
        <v>199</v>
      </c>
      <c r="D94" s="58" t="s">
        <v>176</v>
      </c>
      <c r="E94" s="66" t="s">
        <v>499</v>
      </c>
      <c r="F94" s="16"/>
      <c r="G94" s="16" t="s">
        <v>500</v>
      </c>
      <c r="H94" s="16"/>
      <c r="I94" s="18" t="s">
        <v>252</v>
      </c>
      <c r="J94" s="18"/>
      <c r="K94" s="18" t="s">
        <v>252</v>
      </c>
      <c r="L94" s="18" t="s">
        <v>252</v>
      </c>
      <c r="M94" s="18"/>
      <c r="N94" s="18"/>
      <c r="O94" s="20" t="s">
        <v>501</v>
      </c>
    </row>
    <row r="95" spans="1:15" ht="24">
      <c r="A95" s="98">
        <v>40333</v>
      </c>
      <c r="B95" s="42" t="s">
        <v>207</v>
      </c>
      <c r="C95" s="14" t="s">
        <v>188</v>
      </c>
      <c r="D95" s="14" t="s">
        <v>189</v>
      </c>
      <c r="E95" s="39" t="str">
        <f>HYPERLINK("http://www.marianasrangecomplexeis.com/OtherResources.aspx","Mariana Islands Range Complex (MIRC), To Address Ongoing and Proposed Military Training Activities, Mariana Islands, GU")</f>
        <v>Mariana Islands Range Complex (MIRC), To Address Ongoing and Proposed Military Training Activities, Mariana Islands, GU</v>
      </c>
      <c r="F95" s="16" t="str">
        <f>HYPERLINK("http://www.marianasrangecomplexeis.com/Documents/MIRC%20Final%20EIS_OEIS%20Volume%202.pdf ","81-3")</f>
        <v>81-3</v>
      </c>
      <c r="G95" s="16"/>
      <c r="H95" s="16"/>
      <c r="I95" s="18"/>
      <c r="J95" s="18"/>
      <c r="K95" s="18" t="s">
        <v>108</v>
      </c>
      <c r="L95" s="18"/>
      <c r="M95" s="18"/>
      <c r="N95" s="18"/>
      <c r="O95" s="17" t="s">
        <v>34</v>
      </c>
    </row>
    <row r="96" spans="1:15" ht="36">
      <c r="A96" s="98">
        <v>40347</v>
      </c>
      <c r="B96" s="35" t="s">
        <v>208</v>
      </c>
      <c r="C96" s="14" t="s">
        <v>193</v>
      </c>
      <c r="D96" s="14" t="s">
        <v>176</v>
      </c>
      <c r="E96" s="39" t="str">
        <f>HYPERLINK("http://www.nbwra.org/docs/","North Bay Water Recycling Program (NBWRP), (Formerly North San Pablo Bay Restoration and Reuse Project), Proposed to Promote the Expanded Beneficial Use of Recycled Water, North Marin Water District, Napa County, CA")</f>
        <v>North Bay Water Recycling Program (NBWRP), (Formerly North San Pablo Bay Restoration and Reuse Project), Proposed to Promote the Expanded Beneficial Use of Recycled Water, North Marin Water District, Napa County, CA</v>
      </c>
      <c r="F96" s="19"/>
      <c r="G96" s="16" t="str">
        <f>HYPERLINK("http://www.nbwra.org/docs/EIR-EIS/3.8-Air_Quality.pdf","30-9")</f>
        <v>30-9</v>
      </c>
      <c r="H96" s="16" t="str">
        <f>HYPERLINK("http://www.nbwra.org/docs/EIR-EIS/4-Cumulative.pdf","55")</f>
        <v>55</v>
      </c>
      <c r="I96" s="18"/>
      <c r="J96" s="18" t="s">
        <v>108</v>
      </c>
      <c r="K96" s="18" t="s">
        <v>108</v>
      </c>
      <c r="L96" s="18"/>
      <c r="M96" s="18"/>
      <c r="N96" s="18"/>
      <c r="O96" s="17" t="s">
        <v>7</v>
      </c>
    </row>
    <row r="97" spans="1:15" ht="36">
      <c r="A97" s="98">
        <v>40354</v>
      </c>
      <c r="B97" s="45" t="s">
        <v>214</v>
      </c>
      <c r="C97" s="14" t="s">
        <v>205</v>
      </c>
      <c r="D97" s="14" t="s">
        <v>242</v>
      </c>
      <c r="E97" s="39" t="str">
        <f>HYPERLINK("http://www.honolulutransit.org/","Honolulu High-Capacity Transit Corridor Project, Provide High-Capacity Transit Service on O'ahu from Kapolei to the University of Hawaii at Manoa and Waikiki, City and County of Honolulu, O'ahu, Hawaii")</f>
        <v>Honolulu High-Capacity Transit Corridor Project, Provide High-Capacity Transit Service on O'ahu from Kapolei to the University of Hawaii at Manoa and Waikiki, City and County of Honolulu, O'ahu, Hawaii</v>
      </c>
      <c r="F97" s="16" t="str">
        <f>HYPERLINK("http://www.honolulutransit.org/library/files/04%20part%202.pdf ","64-5")</f>
        <v>64-5</v>
      </c>
      <c r="G97" s="16"/>
      <c r="H97" s="16"/>
      <c r="I97" s="18" t="s">
        <v>108</v>
      </c>
      <c r="J97" s="18"/>
      <c r="K97" s="18"/>
      <c r="L97" s="18"/>
      <c r="M97" s="18"/>
      <c r="N97" s="18"/>
      <c r="O97" s="17" t="s">
        <v>25</v>
      </c>
    </row>
    <row r="98" spans="1:15" ht="24">
      <c r="A98" s="98">
        <v>40354</v>
      </c>
      <c r="B98" s="24" t="s">
        <v>209</v>
      </c>
      <c r="C98" s="14" t="s">
        <v>177</v>
      </c>
      <c r="D98" s="14" t="s">
        <v>176</v>
      </c>
      <c r="E98" s="39" t="str">
        <f>HYPERLINK("http://www.fs.fed.us/r5/eldorado/projects/biggriz/","Big Grizzly Fuels Reduction and Forest Health Project, Proposes Vegetation Treatments, Eldorado National Forest, Georgetown Ranger District, Georgetown, CA")</f>
        <v>Big Grizzly Fuels Reduction and Forest Health Project, Proposes Vegetation Treatments, Eldorado National Forest, Georgetown Ranger District, Georgetown, CA</v>
      </c>
      <c r="F98" s="16" t="str">
        <f>HYPERLINK("http://www.fs.fed.us/r5/eldorado/documents/biggriz/Grizzly_Final_EIS_appendices.pdf ","206-210")</f>
        <v>206-210</v>
      </c>
      <c r="G98" s="16"/>
      <c r="H98" s="16"/>
      <c r="I98" s="18"/>
      <c r="J98" s="18"/>
      <c r="K98" s="18"/>
      <c r="L98" s="18"/>
      <c r="M98" s="18" t="s">
        <v>108</v>
      </c>
      <c r="N98" s="18" t="s">
        <v>252</v>
      </c>
      <c r="O98" s="17" t="s">
        <v>9</v>
      </c>
    </row>
    <row r="99" spans="1:15" ht="27.75">
      <c r="A99" s="102">
        <v>40360</v>
      </c>
      <c r="B99" s="86" t="s">
        <v>163</v>
      </c>
      <c r="C99" s="90" t="s">
        <v>240</v>
      </c>
      <c r="D99" s="90" t="s">
        <v>445</v>
      </c>
      <c r="E99" s="92" t="s">
        <v>446</v>
      </c>
      <c r="F99" s="22" t="s">
        <v>447</v>
      </c>
      <c r="G99" s="22"/>
      <c r="H99" s="22"/>
      <c r="I99" s="56"/>
      <c r="J99" s="56"/>
      <c r="K99" s="56"/>
      <c r="L99" s="56"/>
      <c r="M99" s="56" t="s">
        <v>252</v>
      </c>
      <c r="N99" s="56" t="s">
        <v>252</v>
      </c>
      <c r="O99" s="94" t="s">
        <v>448</v>
      </c>
    </row>
    <row r="100" spans="1:15" ht="36">
      <c r="A100" s="101">
        <v>40360</v>
      </c>
      <c r="B100" s="77" t="s">
        <v>161</v>
      </c>
      <c r="C100" s="58" t="s">
        <v>302</v>
      </c>
      <c r="D100" s="58" t="s">
        <v>176</v>
      </c>
      <c r="E100" s="63" t="s">
        <v>303</v>
      </c>
      <c r="F100" s="64" t="s">
        <v>304</v>
      </c>
      <c r="G100" s="16"/>
      <c r="H100" s="65"/>
      <c r="I100" s="21" t="s">
        <v>252</v>
      </c>
      <c r="J100" s="21" t="s">
        <v>252</v>
      </c>
      <c r="K100" s="21" t="s">
        <v>252</v>
      </c>
      <c r="L100" s="21" t="s">
        <v>252</v>
      </c>
      <c r="M100" s="21"/>
      <c r="N100" s="21"/>
      <c r="O100" s="20" t="s">
        <v>305</v>
      </c>
    </row>
    <row r="101" spans="1:15" ht="24">
      <c r="A101" s="103">
        <v>40360</v>
      </c>
      <c r="B101" s="77" t="s">
        <v>161</v>
      </c>
      <c r="C101" s="58" t="s">
        <v>359</v>
      </c>
      <c r="D101" s="58" t="s">
        <v>224</v>
      </c>
      <c r="E101" s="59" t="s">
        <v>360</v>
      </c>
      <c r="F101" s="67" t="s">
        <v>361</v>
      </c>
      <c r="G101" s="65"/>
      <c r="H101" s="16"/>
      <c r="I101" s="18" t="s">
        <v>252</v>
      </c>
      <c r="J101" s="18" t="s">
        <v>252</v>
      </c>
      <c r="K101" s="18"/>
      <c r="L101" s="18" t="s">
        <v>252</v>
      </c>
      <c r="M101" s="18"/>
      <c r="N101" s="18"/>
      <c r="O101" s="20" t="s">
        <v>362</v>
      </c>
    </row>
    <row r="102" spans="1:15" ht="24">
      <c r="A102" s="98">
        <v>40360</v>
      </c>
      <c r="B102" s="30" t="s">
        <v>94</v>
      </c>
      <c r="C102" s="14" t="s">
        <v>235</v>
      </c>
      <c r="D102" s="14" t="s">
        <v>178</v>
      </c>
      <c r="E102" s="39" t="str">
        <f>HYPERLINK("http://www.pcouncil.org/groundfish/fishery-management-plan/fmp-amendment-20/#EIS","Rationalization of the Pacific Coast Groundfish Limited Entry Trawl Fishery, Amendment 20, Implementation, WA, OR and CA")</f>
        <v>Rationalization of the Pacific Coast Groundfish Limited Entry Trawl Fishery, Amendment 20, Implementation, WA, OR and CA</v>
      </c>
      <c r="F102" s="16" t="str">
        <f>HYPERLINK("http://www.pcouncil.org/wp-content/uploads/1_Pacific-Coast-Grounddfish-Limited-Entry-Trawl-Fishery-FEIS.pdf","623-5, 638")</f>
        <v>623-5, 638</v>
      </c>
      <c r="G102" s="16"/>
      <c r="H102" s="16"/>
      <c r="I102" s="18"/>
      <c r="J102" s="18"/>
      <c r="K102" s="18"/>
      <c r="L102" s="18"/>
      <c r="M102" s="18" t="s">
        <v>108</v>
      </c>
      <c r="N102" s="18"/>
      <c r="O102" s="17" t="s">
        <v>8</v>
      </c>
    </row>
    <row r="103" spans="1:15" ht="24">
      <c r="A103" s="100">
        <v>40360</v>
      </c>
      <c r="B103" s="24" t="s">
        <v>209</v>
      </c>
      <c r="C103" s="58" t="s">
        <v>191</v>
      </c>
      <c r="D103" s="58" t="s">
        <v>183</v>
      </c>
      <c r="E103" s="67" t="s">
        <v>260</v>
      </c>
      <c r="F103" s="16" t="s">
        <v>261</v>
      </c>
      <c r="G103" s="16"/>
      <c r="H103" s="16"/>
      <c r="I103" s="18" t="s">
        <v>252</v>
      </c>
      <c r="J103" s="18"/>
      <c r="K103" s="18"/>
      <c r="L103" s="18"/>
      <c r="M103" s="18" t="s">
        <v>252</v>
      </c>
      <c r="N103" s="18" t="s">
        <v>252</v>
      </c>
      <c r="O103" s="20" t="s">
        <v>262</v>
      </c>
    </row>
    <row r="104" spans="1:15" ht="42">
      <c r="A104" s="100">
        <v>40360</v>
      </c>
      <c r="B104" s="42" t="s">
        <v>207</v>
      </c>
      <c r="C104" s="58" t="s">
        <v>552</v>
      </c>
      <c r="D104" s="58" t="s">
        <v>553</v>
      </c>
      <c r="E104" s="59" t="s">
        <v>554</v>
      </c>
      <c r="F104" s="61" t="s">
        <v>555</v>
      </c>
      <c r="G104" s="16"/>
      <c r="H104" s="16"/>
      <c r="I104" s="18" t="s">
        <v>252</v>
      </c>
      <c r="J104" s="18"/>
      <c r="K104" s="18"/>
      <c r="L104" s="18"/>
      <c r="M104" s="18" t="s">
        <v>252</v>
      </c>
      <c r="N104" s="18" t="s">
        <v>252</v>
      </c>
      <c r="O104" s="20" t="s">
        <v>556</v>
      </c>
    </row>
    <row r="105" spans="1:15" ht="36">
      <c r="A105" s="100">
        <v>40360</v>
      </c>
      <c r="B105" s="57" t="s">
        <v>583</v>
      </c>
      <c r="C105" s="58" t="s">
        <v>191</v>
      </c>
      <c r="D105" s="58" t="s">
        <v>181</v>
      </c>
      <c r="E105" s="63" t="s">
        <v>269</v>
      </c>
      <c r="F105" s="16" t="s">
        <v>270</v>
      </c>
      <c r="G105" s="16"/>
      <c r="H105" s="16"/>
      <c r="I105" s="18" t="s">
        <v>252</v>
      </c>
      <c r="J105" s="18"/>
      <c r="K105" s="18"/>
      <c r="L105" s="18" t="s">
        <v>252</v>
      </c>
      <c r="M105" s="18" t="s">
        <v>252</v>
      </c>
      <c r="N105" s="18"/>
      <c r="O105" s="20" t="s">
        <v>271</v>
      </c>
    </row>
    <row r="106" spans="1:15" ht="27.75">
      <c r="A106" s="100">
        <v>40360</v>
      </c>
      <c r="B106" s="25" t="s">
        <v>164</v>
      </c>
      <c r="C106" s="58" t="s">
        <v>191</v>
      </c>
      <c r="D106" s="58" t="s">
        <v>184</v>
      </c>
      <c r="E106" s="85" t="s">
        <v>272</v>
      </c>
      <c r="F106" s="16" t="s">
        <v>273</v>
      </c>
      <c r="G106" s="16"/>
      <c r="H106" s="16"/>
      <c r="I106" s="18" t="s">
        <v>252</v>
      </c>
      <c r="J106" s="18"/>
      <c r="K106" s="18"/>
      <c r="L106" s="18"/>
      <c r="M106" s="18"/>
      <c r="N106" s="18"/>
      <c r="O106" s="20" t="s">
        <v>274</v>
      </c>
    </row>
    <row r="107" spans="1:15" ht="27.75">
      <c r="A107" s="100">
        <v>40360</v>
      </c>
      <c r="B107" s="45" t="s">
        <v>584</v>
      </c>
      <c r="C107" s="58" t="s">
        <v>200</v>
      </c>
      <c r="D107" s="58" t="s">
        <v>184</v>
      </c>
      <c r="E107" s="59" t="s">
        <v>376</v>
      </c>
      <c r="F107" s="16" t="s">
        <v>377</v>
      </c>
      <c r="G107" s="16"/>
      <c r="H107" s="16"/>
      <c r="I107" s="18" t="s">
        <v>252</v>
      </c>
      <c r="J107" s="18"/>
      <c r="K107" s="18"/>
      <c r="L107" s="18" t="s">
        <v>252</v>
      </c>
      <c r="M107" s="18"/>
      <c r="N107" s="18"/>
      <c r="O107" s="20" t="s">
        <v>378</v>
      </c>
    </row>
    <row r="108" spans="1:15" ht="27.75">
      <c r="A108" s="103">
        <v>40360</v>
      </c>
      <c r="B108" s="75" t="s">
        <v>580</v>
      </c>
      <c r="C108" s="58" t="s">
        <v>179</v>
      </c>
      <c r="D108" s="58" t="s">
        <v>186</v>
      </c>
      <c r="E108" s="66" t="s">
        <v>343</v>
      </c>
      <c r="F108" s="16" t="s">
        <v>344</v>
      </c>
      <c r="G108" s="65"/>
      <c r="H108" s="16"/>
      <c r="I108" s="18" t="s">
        <v>252</v>
      </c>
      <c r="J108" s="18"/>
      <c r="K108" s="18" t="s">
        <v>252</v>
      </c>
      <c r="L108" s="18" t="s">
        <v>252</v>
      </c>
      <c r="M108" s="18"/>
      <c r="N108" s="18"/>
      <c r="O108" s="20" t="s">
        <v>345</v>
      </c>
    </row>
    <row r="109" spans="1:15" ht="24">
      <c r="A109" s="100">
        <v>40360</v>
      </c>
      <c r="B109" s="78" t="s">
        <v>211</v>
      </c>
      <c r="C109" s="58" t="s">
        <v>187</v>
      </c>
      <c r="D109" s="58" t="s">
        <v>386</v>
      </c>
      <c r="E109" s="81" t="s">
        <v>387</v>
      </c>
      <c r="F109" s="16" t="s">
        <v>388</v>
      </c>
      <c r="G109" s="16"/>
      <c r="H109" s="16"/>
      <c r="I109" s="18" t="s">
        <v>252</v>
      </c>
      <c r="J109" s="18"/>
      <c r="K109" s="18"/>
      <c r="L109" s="18"/>
      <c r="M109" s="18" t="s">
        <v>252</v>
      </c>
      <c r="N109" s="18"/>
      <c r="O109" s="20" t="s">
        <v>389</v>
      </c>
    </row>
    <row r="110" spans="1:15" ht="42">
      <c r="A110" s="100">
        <v>40391</v>
      </c>
      <c r="B110" s="77" t="s">
        <v>161</v>
      </c>
      <c r="C110" s="58" t="s">
        <v>191</v>
      </c>
      <c r="D110" s="58" t="s">
        <v>176</v>
      </c>
      <c r="E110" s="59" t="s">
        <v>254</v>
      </c>
      <c r="F110" s="16" t="s">
        <v>255</v>
      </c>
      <c r="G110" s="16"/>
      <c r="H110" s="16"/>
      <c r="I110" s="18" t="s">
        <v>252</v>
      </c>
      <c r="J110" s="18" t="s">
        <v>252</v>
      </c>
      <c r="K110" s="18" t="s">
        <v>252</v>
      </c>
      <c r="L110" s="18" t="s">
        <v>252</v>
      </c>
      <c r="M110" s="18" t="s">
        <v>252</v>
      </c>
      <c r="N110" s="18" t="s">
        <v>252</v>
      </c>
      <c r="O110" s="20" t="s">
        <v>256</v>
      </c>
    </row>
    <row r="111" spans="1:15" ht="42">
      <c r="A111" s="100">
        <v>40391</v>
      </c>
      <c r="B111" s="77" t="s">
        <v>161</v>
      </c>
      <c r="C111" s="58" t="s">
        <v>191</v>
      </c>
      <c r="D111" s="58" t="s">
        <v>176</v>
      </c>
      <c r="E111" s="59" t="s">
        <v>299</v>
      </c>
      <c r="F111" s="64" t="s">
        <v>300</v>
      </c>
      <c r="G111" s="16"/>
      <c r="H111" s="16"/>
      <c r="I111" s="18" t="s">
        <v>252</v>
      </c>
      <c r="J111" s="18" t="s">
        <v>252</v>
      </c>
      <c r="K111" s="18"/>
      <c r="L111" s="18" t="s">
        <v>252</v>
      </c>
      <c r="M111" s="18"/>
      <c r="N111" s="18"/>
      <c r="O111" s="20" t="s">
        <v>301</v>
      </c>
    </row>
    <row r="112" spans="1:15" ht="36">
      <c r="A112" s="103">
        <v>40391</v>
      </c>
      <c r="B112" s="77" t="s">
        <v>161</v>
      </c>
      <c r="C112" s="58" t="s">
        <v>302</v>
      </c>
      <c r="D112" s="58" t="s">
        <v>176</v>
      </c>
      <c r="E112" s="59" t="s">
        <v>306</v>
      </c>
      <c r="F112" s="64" t="s">
        <v>307</v>
      </c>
      <c r="G112" s="65"/>
      <c r="H112" s="16"/>
      <c r="I112" s="18" t="s">
        <v>252</v>
      </c>
      <c r="J112" s="18" t="s">
        <v>252</v>
      </c>
      <c r="K112" s="18" t="s">
        <v>252</v>
      </c>
      <c r="L112" s="18" t="s">
        <v>252</v>
      </c>
      <c r="M112" s="18" t="s">
        <v>252</v>
      </c>
      <c r="N112" s="18" t="s">
        <v>252</v>
      </c>
      <c r="O112" s="20" t="s">
        <v>308</v>
      </c>
    </row>
    <row r="113" spans="1:15" ht="36">
      <c r="A113" s="103">
        <v>40391</v>
      </c>
      <c r="B113" s="77" t="s">
        <v>161</v>
      </c>
      <c r="C113" s="58" t="s">
        <v>302</v>
      </c>
      <c r="D113" s="58" t="s">
        <v>176</v>
      </c>
      <c r="E113" s="93" t="s">
        <v>309</v>
      </c>
      <c r="F113" s="64" t="s">
        <v>310</v>
      </c>
      <c r="G113" s="16"/>
      <c r="H113" s="65"/>
      <c r="I113" s="21" t="s">
        <v>252</v>
      </c>
      <c r="J113" s="21" t="s">
        <v>252</v>
      </c>
      <c r="K113" s="21" t="s">
        <v>252</v>
      </c>
      <c r="L113" s="21" t="s">
        <v>252</v>
      </c>
      <c r="M113" s="21" t="s">
        <v>252</v>
      </c>
      <c r="N113" s="21" t="s">
        <v>252</v>
      </c>
      <c r="O113" s="20" t="s">
        <v>308</v>
      </c>
    </row>
    <row r="114" spans="1:15" ht="24">
      <c r="A114" s="100">
        <v>40391</v>
      </c>
      <c r="B114" s="24" t="s">
        <v>209</v>
      </c>
      <c r="C114" s="58" t="s">
        <v>177</v>
      </c>
      <c r="D114" s="58" t="s">
        <v>183</v>
      </c>
      <c r="E114" s="63" t="s">
        <v>524</v>
      </c>
      <c r="F114" s="16" t="s">
        <v>525</v>
      </c>
      <c r="G114" s="16"/>
      <c r="H114" s="16"/>
      <c r="I114" s="18" t="s">
        <v>252</v>
      </c>
      <c r="J114" s="18"/>
      <c r="K114" s="18"/>
      <c r="L114" s="18"/>
      <c r="M114" s="18" t="s">
        <v>252</v>
      </c>
      <c r="N114" s="18" t="s">
        <v>252</v>
      </c>
      <c r="O114" s="20" t="s">
        <v>526</v>
      </c>
    </row>
    <row r="115" spans="1:15" ht="36">
      <c r="A115" s="103">
        <v>40391</v>
      </c>
      <c r="B115" s="38" t="s">
        <v>95</v>
      </c>
      <c r="C115" s="58" t="s">
        <v>179</v>
      </c>
      <c r="D115" s="58" t="s">
        <v>339</v>
      </c>
      <c r="E115" s="63" t="s">
        <v>340</v>
      </c>
      <c r="F115" s="64" t="s">
        <v>341</v>
      </c>
      <c r="G115" s="16"/>
      <c r="H115" s="16"/>
      <c r="I115" s="18" t="s">
        <v>252</v>
      </c>
      <c r="J115" s="18" t="s">
        <v>252</v>
      </c>
      <c r="K115" s="18"/>
      <c r="L115" s="18"/>
      <c r="M115" s="18"/>
      <c r="N115" s="18"/>
      <c r="O115" s="20" t="s">
        <v>342</v>
      </c>
    </row>
    <row r="116" spans="1:15" ht="27.75">
      <c r="A116" s="100">
        <v>40391</v>
      </c>
      <c r="B116" s="34" t="s">
        <v>212</v>
      </c>
      <c r="C116" s="58" t="s">
        <v>219</v>
      </c>
      <c r="D116" s="58" t="s">
        <v>217</v>
      </c>
      <c r="E116" s="59" t="s">
        <v>370</v>
      </c>
      <c r="F116" s="16" t="s">
        <v>371</v>
      </c>
      <c r="G116" s="16"/>
      <c r="H116" s="16"/>
      <c r="I116" s="18" t="s">
        <v>252</v>
      </c>
      <c r="J116" s="18"/>
      <c r="K116" s="18"/>
      <c r="L116" s="18"/>
      <c r="M116" s="18"/>
      <c r="N116" s="18"/>
      <c r="O116" s="20" t="s">
        <v>372</v>
      </c>
    </row>
    <row r="117" spans="1:15" ht="36">
      <c r="A117" s="100">
        <v>40391</v>
      </c>
      <c r="B117" s="78" t="s">
        <v>211</v>
      </c>
      <c r="C117" s="58" t="s">
        <v>187</v>
      </c>
      <c r="D117" s="58" t="s">
        <v>181</v>
      </c>
      <c r="E117" s="59" t="s">
        <v>393</v>
      </c>
      <c r="F117" s="16" t="s">
        <v>394</v>
      </c>
      <c r="G117" s="16"/>
      <c r="H117" s="16"/>
      <c r="I117" s="18" t="s">
        <v>252</v>
      </c>
      <c r="J117" s="18"/>
      <c r="K117" s="18"/>
      <c r="L117" s="18"/>
      <c r="M117" s="18"/>
      <c r="N117" s="18"/>
      <c r="O117" s="20" t="s">
        <v>395</v>
      </c>
    </row>
    <row r="118" spans="1:15" ht="72">
      <c r="A118" s="98">
        <v>40422</v>
      </c>
      <c r="B118" s="27" t="s">
        <v>32</v>
      </c>
      <c r="C118" s="14" t="s">
        <v>199</v>
      </c>
      <c r="D118" s="14" t="s">
        <v>176</v>
      </c>
      <c r="E118" s="15" t="s">
        <v>218</v>
      </c>
      <c r="F118" s="61" t="str">
        <f>HYPERLINK("http://www.portoflosangeles.org/EIR/SPWaterfront/FEIR/3_Modifications_to_the_Draft.pdf ","70-92")</f>
        <v>70-92</v>
      </c>
      <c r="G118" s="16" t="str">
        <f>HYPERLINK("http://www.portoflosangeles.org/EIR/SPWaterfront/DEIR/3-2_AirQuality_Meteorology.pdf ","14-19, 138-149")</f>
        <v>14-19, 138-149</v>
      </c>
      <c r="H118" s="19"/>
      <c r="I118" s="21"/>
      <c r="J118" s="21" t="s">
        <v>108</v>
      </c>
      <c r="K118" s="21" t="s">
        <v>108</v>
      </c>
      <c r="L118" s="21" t="s">
        <v>108</v>
      </c>
      <c r="M118" s="21" t="s">
        <v>108</v>
      </c>
      <c r="N118" s="21"/>
      <c r="O118" s="17" t="s">
        <v>55</v>
      </c>
    </row>
    <row r="119" spans="1:15" ht="42">
      <c r="A119" s="100">
        <v>40422</v>
      </c>
      <c r="B119" s="77" t="s">
        <v>161</v>
      </c>
      <c r="C119" s="58" t="s">
        <v>191</v>
      </c>
      <c r="D119" s="58" t="s">
        <v>185</v>
      </c>
      <c r="E119" s="66" t="s">
        <v>293</v>
      </c>
      <c r="F119" s="16" t="s">
        <v>294</v>
      </c>
      <c r="G119" s="16"/>
      <c r="H119" s="16"/>
      <c r="I119" s="18" t="s">
        <v>252</v>
      </c>
      <c r="J119" s="18"/>
      <c r="K119" s="18"/>
      <c r="L119" s="18" t="s">
        <v>252</v>
      </c>
      <c r="M119" s="18" t="s">
        <v>252</v>
      </c>
      <c r="N119" s="18"/>
      <c r="O119" s="20" t="s">
        <v>295</v>
      </c>
    </row>
    <row r="120" spans="1:15" ht="27.75">
      <c r="A120" s="100">
        <v>40422</v>
      </c>
      <c r="B120" s="24" t="s">
        <v>209</v>
      </c>
      <c r="C120" s="58" t="s">
        <v>177</v>
      </c>
      <c r="D120" s="58" t="s">
        <v>182</v>
      </c>
      <c r="E120" s="59" t="s">
        <v>539</v>
      </c>
      <c r="F120" s="16" t="s">
        <v>540</v>
      </c>
      <c r="G120" s="16"/>
      <c r="H120" s="16"/>
      <c r="I120" s="18" t="s">
        <v>252</v>
      </c>
      <c r="J120" s="18"/>
      <c r="K120" s="18"/>
      <c r="L120" s="18"/>
      <c r="M120" s="18" t="s">
        <v>252</v>
      </c>
      <c r="N120" s="18" t="s">
        <v>252</v>
      </c>
      <c r="O120" s="20" t="s">
        <v>541</v>
      </c>
    </row>
    <row r="121" spans="1:15" ht="16.5">
      <c r="A121" s="100">
        <v>40422</v>
      </c>
      <c r="B121" s="75" t="s">
        <v>580</v>
      </c>
      <c r="C121" s="58" t="s">
        <v>177</v>
      </c>
      <c r="D121" s="58" t="s">
        <v>176</v>
      </c>
      <c r="E121" s="59" t="s">
        <v>518</v>
      </c>
      <c r="F121" s="61" t="s">
        <v>519</v>
      </c>
      <c r="G121" s="16"/>
      <c r="H121" s="16"/>
      <c r="I121" s="18" t="s">
        <v>252</v>
      </c>
      <c r="J121" s="18" t="s">
        <v>252</v>
      </c>
      <c r="K121" s="18" t="s">
        <v>252</v>
      </c>
      <c r="L121" s="18" t="s">
        <v>252</v>
      </c>
      <c r="M121" s="18"/>
      <c r="N121" s="18"/>
      <c r="O121" s="20" t="s">
        <v>520</v>
      </c>
    </row>
    <row r="122" spans="1:15" ht="36">
      <c r="A122" s="100">
        <v>40452</v>
      </c>
      <c r="B122" s="27" t="s">
        <v>32</v>
      </c>
      <c r="C122" s="58" t="s">
        <v>427</v>
      </c>
      <c r="D122" s="58" t="s">
        <v>186</v>
      </c>
      <c r="E122" s="59" t="s">
        <v>428</v>
      </c>
      <c r="F122" s="16" t="s">
        <v>429</v>
      </c>
      <c r="G122" s="16"/>
      <c r="H122" s="16"/>
      <c r="I122" s="18" t="s">
        <v>252</v>
      </c>
      <c r="J122" s="18" t="s">
        <v>252</v>
      </c>
      <c r="K122" s="18" t="s">
        <v>252</v>
      </c>
      <c r="L122" s="18" t="s">
        <v>252</v>
      </c>
      <c r="M122" s="18"/>
      <c r="N122" s="18"/>
      <c r="O122" s="20" t="s">
        <v>430</v>
      </c>
    </row>
    <row r="123" spans="1:15" ht="27.75">
      <c r="A123" s="100">
        <v>40452</v>
      </c>
      <c r="B123" s="27" t="s">
        <v>32</v>
      </c>
      <c r="C123" s="58" t="s">
        <v>199</v>
      </c>
      <c r="D123" s="58" t="s">
        <v>176</v>
      </c>
      <c r="E123" s="59" t="s">
        <v>496</v>
      </c>
      <c r="F123" s="16" t="s">
        <v>497</v>
      </c>
      <c r="G123" s="16"/>
      <c r="H123" s="16"/>
      <c r="I123" s="18" t="s">
        <v>252</v>
      </c>
      <c r="J123" s="18" t="s">
        <v>252</v>
      </c>
      <c r="K123" s="18" t="s">
        <v>252</v>
      </c>
      <c r="L123" s="18" t="s">
        <v>252</v>
      </c>
      <c r="M123" s="18" t="s">
        <v>252</v>
      </c>
      <c r="N123" s="18" t="s">
        <v>252</v>
      </c>
      <c r="O123" s="20" t="s">
        <v>498</v>
      </c>
    </row>
    <row r="124" spans="1:15" ht="27.75">
      <c r="A124" s="100">
        <v>40452</v>
      </c>
      <c r="B124" s="24" t="s">
        <v>209</v>
      </c>
      <c r="C124" s="58" t="s">
        <v>177</v>
      </c>
      <c r="D124" s="58" t="s">
        <v>176</v>
      </c>
      <c r="E124" s="59" t="s">
        <v>533</v>
      </c>
      <c r="F124" s="16" t="s">
        <v>534</v>
      </c>
      <c r="G124" s="16"/>
      <c r="H124" s="16"/>
      <c r="I124" s="18" t="s">
        <v>252</v>
      </c>
      <c r="J124" s="18"/>
      <c r="K124" s="18"/>
      <c r="L124" s="18"/>
      <c r="M124" s="18"/>
      <c r="N124" s="18"/>
      <c r="O124" s="20" t="s">
        <v>535</v>
      </c>
    </row>
    <row r="125" spans="1:15" ht="36">
      <c r="A125" s="100">
        <v>40452</v>
      </c>
      <c r="B125" s="24" t="s">
        <v>209</v>
      </c>
      <c r="C125" s="58" t="s">
        <v>177</v>
      </c>
      <c r="D125" s="58" t="s">
        <v>183</v>
      </c>
      <c r="E125" s="59" t="s">
        <v>521</v>
      </c>
      <c r="F125" s="16" t="s">
        <v>522</v>
      </c>
      <c r="G125" s="16"/>
      <c r="H125" s="16"/>
      <c r="I125" s="18"/>
      <c r="J125" s="18"/>
      <c r="K125" s="18"/>
      <c r="L125" s="18"/>
      <c r="M125" s="18" t="s">
        <v>252</v>
      </c>
      <c r="N125" s="18" t="s">
        <v>252</v>
      </c>
      <c r="O125" s="20" t="s">
        <v>523</v>
      </c>
    </row>
    <row r="126" spans="1:15" ht="27.75">
      <c r="A126" s="100">
        <v>40452</v>
      </c>
      <c r="B126" s="24" t="s">
        <v>209</v>
      </c>
      <c r="C126" s="58" t="s">
        <v>177</v>
      </c>
      <c r="D126" s="58" t="s">
        <v>335</v>
      </c>
      <c r="E126" s="59" t="s">
        <v>536</v>
      </c>
      <c r="F126" s="16" t="s">
        <v>537</v>
      </c>
      <c r="G126" s="16"/>
      <c r="H126" s="16"/>
      <c r="I126" s="18" t="s">
        <v>252</v>
      </c>
      <c r="J126" s="18"/>
      <c r="K126" s="18"/>
      <c r="L126" s="18"/>
      <c r="M126" s="18" t="s">
        <v>252</v>
      </c>
      <c r="N126" s="18"/>
      <c r="O126" s="20" t="s">
        <v>538</v>
      </c>
    </row>
    <row r="127" spans="1:15" ht="24">
      <c r="A127" s="100">
        <v>40452</v>
      </c>
      <c r="B127" s="57" t="s">
        <v>213</v>
      </c>
      <c r="C127" s="58" t="s">
        <v>240</v>
      </c>
      <c r="D127" s="58" t="s">
        <v>181</v>
      </c>
      <c r="E127" s="59" t="s">
        <v>464</v>
      </c>
      <c r="F127" s="16" t="s">
        <v>465</v>
      </c>
      <c r="G127" s="16"/>
      <c r="H127" s="65"/>
      <c r="I127" s="21" t="s">
        <v>252</v>
      </c>
      <c r="J127" s="21" t="s">
        <v>252</v>
      </c>
      <c r="K127" s="21"/>
      <c r="L127" s="21" t="s">
        <v>252</v>
      </c>
      <c r="M127" s="21" t="s">
        <v>252</v>
      </c>
      <c r="N127" s="21" t="s">
        <v>252</v>
      </c>
      <c r="O127" s="20" t="s">
        <v>466</v>
      </c>
    </row>
    <row r="128" spans="1:15" ht="36">
      <c r="A128" s="100">
        <v>40452</v>
      </c>
      <c r="B128" s="38" t="s">
        <v>95</v>
      </c>
      <c r="C128" s="58" t="s">
        <v>431</v>
      </c>
      <c r="D128" s="58" t="s">
        <v>432</v>
      </c>
      <c r="E128" s="63" t="s">
        <v>433</v>
      </c>
      <c r="F128" s="16" t="s">
        <v>434</v>
      </c>
      <c r="G128" s="16"/>
      <c r="H128" s="16"/>
      <c r="I128" s="18" t="s">
        <v>252</v>
      </c>
      <c r="J128" s="18"/>
      <c r="K128" s="18"/>
      <c r="L128" s="18" t="s">
        <v>252</v>
      </c>
      <c r="M128" s="18"/>
      <c r="N128" s="18"/>
      <c r="O128" s="20" t="s">
        <v>435</v>
      </c>
    </row>
    <row r="129" spans="1:15" ht="27.75">
      <c r="A129" s="100">
        <v>40452</v>
      </c>
      <c r="B129" s="25" t="s">
        <v>164</v>
      </c>
      <c r="C129" s="58" t="s">
        <v>191</v>
      </c>
      <c r="D129" s="58" t="s">
        <v>184</v>
      </c>
      <c r="E129" s="59" t="s">
        <v>266</v>
      </c>
      <c r="F129" s="62"/>
      <c r="G129" s="16" t="s">
        <v>267</v>
      </c>
      <c r="H129" s="16"/>
      <c r="I129" s="18" t="s">
        <v>252</v>
      </c>
      <c r="J129" s="18"/>
      <c r="K129" s="18"/>
      <c r="L129" s="18"/>
      <c r="M129" s="18"/>
      <c r="N129" s="18"/>
      <c r="O129" s="20" t="s">
        <v>268</v>
      </c>
    </row>
    <row r="130" spans="1:15" ht="27.75">
      <c r="A130" s="100">
        <v>40452</v>
      </c>
      <c r="B130" s="26" t="s">
        <v>582</v>
      </c>
      <c r="C130" s="58" t="s">
        <v>225</v>
      </c>
      <c r="D130" s="58" t="s">
        <v>181</v>
      </c>
      <c r="E130" s="66" t="s">
        <v>442</v>
      </c>
      <c r="F130" s="16" t="s">
        <v>443</v>
      </c>
      <c r="G130" s="16"/>
      <c r="H130" s="16"/>
      <c r="I130" s="18" t="s">
        <v>252</v>
      </c>
      <c r="J130" s="18"/>
      <c r="K130" s="18"/>
      <c r="L130" s="18"/>
      <c r="M130" s="18" t="s">
        <v>252</v>
      </c>
      <c r="N130" s="18" t="s">
        <v>252</v>
      </c>
      <c r="O130" s="20" t="s">
        <v>444</v>
      </c>
    </row>
    <row r="131" spans="1:15" ht="24">
      <c r="A131" s="100">
        <v>40452</v>
      </c>
      <c r="B131" s="75" t="s">
        <v>580</v>
      </c>
      <c r="C131" s="58" t="s">
        <v>191</v>
      </c>
      <c r="D131" s="58" t="s">
        <v>183</v>
      </c>
      <c r="E131" s="59" t="s">
        <v>263</v>
      </c>
      <c r="F131" s="16" t="s">
        <v>264</v>
      </c>
      <c r="G131" s="16"/>
      <c r="H131" s="16"/>
      <c r="I131" s="18" t="s">
        <v>252</v>
      </c>
      <c r="J131" s="18"/>
      <c r="K131" s="18"/>
      <c r="L131" s="18" t="s">
        <v>252</v>
      </c>
      <c r="M131" s="18"/>
      <c r="N131" s="18"/>
      <c r="O131" s="20" t="s">
        <v>265</v>
      </c>
    </row>
    <row r="132" spans="1:15" ht="27.75">
      <c r="A132" s="100">
        <v>40452</v>
      </c>
      <c r="B132" s="45" t="s">
        <v>214</v>
      </c>
      <c r="C132" s="58" t="s">
        <v>205</v>
      </c>
      <c r="D132" s="58" t="s">
        <v>178</v>
      </c>
      <c r="E132" s="59" t="s">
        <v>421</v>
      </c>
      <c r="F132" s="16" t="s">
        <v>422</v>
      </c>
      <c r="G132" s="16"/>
      <c r="H132" s="16"/>
      <c r="I132" s="18" t="s">
        <v>252</v>
      </c>
      <c r="J132" s="18" t="s">
        <v>252</v>
      </c>
      <c r="K132" s="18"/>
      <c r="L132" s="18" t="s">
        <v>252</v>
      </c>
      <c r="M132" s="18"/>
      <c r="N132" s="18"/>
      <c r="O132" s="20" t="s">
        <v>423</v>
      </c>
    </row>
    <row r="133" spans="1:15" ht="27.75">
      <c r="A133" s="100">
        <v>40483</v>
      </c>
      <c r="B133" s="88" t="s">
        <v>161</v>
      </c>
      <c r="C133" s="58" t="s">
        <v>191</v>
      </c>
      <c r="D133" s="58" t="s">
        <v>185</v>
      </c>
      <c r="E133" s="59" t="s">
        <v>249</v>
      </c>
      <c r="F133" s="16" t="s">
        <v>578</v>
      </c>
      <c r="G133" s="65"/>
      <c r="H133" s="16"/>
      <c r="I133" s="18" t="s">
        <v>252</v>
      </c>
      <c r="J133" s="18"/>
      <c r="K133" s="18"/>
      <c r="L133" s="18" t="s">
        <v>252</v>
      </c>
      <c r="M133" s="18"/>
      <c r="N133" s="18"/>
      <c r="O133" s="20" t="s">
        <v>579</v>
      </c>
    </row>
    <row r="134" spans="1:15" ht="42">
      <c r="A134" s="100">
        <v>40483</v>
      </c>
      <c r="B134" s="42" t="s">
        <v>207</v>
      </c>
      <c r="C134" s="58" t="s">
        <v>201</v>
      </c>
      <c r="D134" s="58" t="s">
        <v>178</v>
      </c>
      <c r="E134" s="59" t="s">
        <v>493</v>
      </c>
      <c r="F134" s="16" t="s">
        <v>494</v>
      </c>
      <c r="G134" s="16"/>
      <c r="H134" s="16"/>
      <c r="I134" s="18" t="s">
        <v>252</v>
      </c>
      <c r="J134" s="18"/>
      <c r="K134" s="18" t="s">
        <v>252</v>
      </c>
      <c r="L134" s="18" t="s">
        <v>252</v>
      </c>
      <c r="M134" s="18"/>
      <c r="N134" s="18"/>
      <c r="O134" s="20" t="s">
        <v>495</v>
      </c>
    </row>
    <row r="135" spans="1:15" ht="27.75">
      <c r="A135" s="101">
        <v>40483</v>
      </c>
      <c r="B135" s="57" t="s">
        <v>213</v>
      </c>
      <c r="C135" s="58" t="s">
        <v>199</v>
      </c>
      <c r="D135" s="58" t="s">
        <v>203</v>
      </c>
      <c r="E135" s="59" t="s">
        <v>509</v>
      </c>
      <c r="F135" s="16" t="s">
        <v>510</v>
      </c>
      <c r="G135" s="16"/>
      <c r="H135" s="16"/>
      <c r="I135" s="18" t="s">
        <v>252</v>
      </c>
      <c r="J135" s="18" t="s">
        <v>252</v>
      </c>
      <c r="K135" s="18" t="s">
        <v>252</v>
      </c>
      <c r="L135" s="18" t="s">
        <v>252</v>
      </c>
      <c r="M135" s="18" t="s">
        <v>252</v>
      </c>
      <c r="N135" s="18" t="s">
        <v>252</v>
      </c>
      <c r="O135" s="20" t="s">
        <v>511</v>
      </c>
    </row>
    <row r="136" spans="1:15" ht="27.75">
      <c r="A136" s="100">
        <v>40513</v>
      </c>
      <c r="B136" s="77" t="s">
        <v>161</v>
      </c>
      <c r="C136" s="58" t="s">
        <v>191</v>
      </c>
      <c r="D136" s="58" t="s">
        <v>176</v>
      </c>
      <c r="E136" s="59" t="s">
        <v>257</v>
      </c>
      <c r="F136" s="60" t="s">
        <v>258</v>
      </c>
      <c r="G136" s="16"/>
      <c r="H136" s="16"/>
      <c r="I136" s="18" t="s">
        <v>252</v>
      </c>
      <c r="J136" s="18"/>
      <c r="K136" s="18" t="s">
        <v>252</v>
      </c>
      <c r="L136" s="18" t="s">
        <v>252</v>
      </c>
      <c r="M136" s="18"/>
      <c r="N136" s="18"/>
      <c r="O136" s="20" t="s">
        <v>259</v>
      </c>
    </row>
    <row r="137" spans="1:15" ht="36">
      <c r="A137" s="100">
        <v>40513</v>
      </c>
      <c r="B137" s="42" t="s">
        <v>207</v>
      </c>
      <c r="C137" s="58" t="s">
        <v>188</v>
      </c>
      <c r="D137" s="58" t="s">
        <v>178</v>
      </c>
      <c r="E137" s="63" t="s">
        <v>490</v>
      </c>
      <c r="F137" s="16" t="s">
        <v>491</v>
      </c>
      <c r="G137" s="16"/>
      <c r="H137" s="16"/>
      <c r="I137" s="18" t="s">
        <v>252</v>
      </c>
      <c r="J137" s="18"/>
      <c r="K137" s="18"/>
      <c r="L137" s="18"/>
      <c r="M137" s="18"/>
      <c r="N137" s="18"/>
      <c r="O137" s="20" t="s">
        <v>492</v>
      </c>
    </row>
    <row r="138" spans="1:15" ht="24">
      <c r="A138" s="100">
        <v>40513</v>
      </c>
      <c r="B138" s="38" t="s">
        <v>95</v>
      </c>
      <c r="C138" s="58" t="s">
        <v>199</v>
      </c>
      <c r="D138" s="58" t="s">
        <v>505</v>
      </c>
      <c r="E138" s="63" t="s">
        <v>506</v>
      </c>
      <c r="F138" s="16" t="s">
        <v>507</v>
      </c>
      <c r="G138" s="16"/>
      <c r="H138" s="16"/>
      <c r="I138" s="18"/>
      <c r="J138" s="18"/>
      <c r="K138" s="18"/>
      <c r="L138" s="18"/>
      <c r="M138" s="18" t="s">
        <v>252</v>
      </c>
      <c r="N138" s="18" t="s">
        <v>252</v>
      </c>
      <c r="O138" s="20" t="s">
        <v>508</v>
      </c>
    </row>
    <row r="139" spans="1:15" ht="36">
      <c r="A139" s="100">
        <v>40513</v>
      </c>
      <c r="B139" s="75" t="s">
        <v>580</v>
      </c>
      <c r="C139" s="58" t="s">
        <v>191</v>
      </c>
      <c r="D139" s="58" t="s">
        <v>185</v>
      </c>
      <c r="E139" s="81" t="s">
        <v>275</v>
      </c>
      <c r="F139" s="64" t="s">
        <v>276</v>
      </c>
      <c r="G139" s="16"/>
      <c r="H139" s="65"/>
      <c r="I139" s="21" t="s">
        <v>252</v>
      </c>
      <c r="J139" s="21"/>
      <c r="K139" s="21"/>
      <c r="L139" s="21" t="s">
        <v>252</v>
      </c>
      <c r="M139" s="21"/>
      <c r="N139" s="21"/>
      <c r="O139" s="20" t="s">
        <v>277</v>
      </c>
    </row>
    <row r="140" spans="1:15" ht="36">
      <c r="A140" s="100">
        <v>40513</v>
      </c>
      <c r="B140" s="78" t="s">
        <v>211</v>
      </c>
      <c r="C140" s="58" t="s">
        <v>187</v>
      </c>
      <c r="D140" s="58" t="s">
        <v>186</v>
      </c>
      <c r="E140" s="59" t="s">
        <v>400</v>
      </c>
      <c r="F140" s="64" t="s">
        <v>401</v>
      </c>
      <c r="G140" s="16"/>
      <c r="H140" s="16"/>
      <c r="I140" s="18" t="s">
        <v>252</v>
      </c>
      <c r="J140" s="18"/>
      <c r="K140" s="18" t="s">
        <v>252</v>
      </c>
      <c r="L140" s="18" t="s">
        <v>252</v>
      </c>
      <c r="M140" s="18"/>
      <c r="N140" s="18"/>
      <c r="O140" s="20" t="s">
        <v>402</v>
      </c>
    </row>
    <row r="141" spans="1:15" ht="27.75">
      <c r="A141" s="100">
        <v>40513</v>
      </c>
      <c r="B141" s="35" t="s">
        <v>208</v>
      </c>
      <c r="C141" s="58" t="s">
        <v>193</v>
      </c>
      <c r="D141" s="91" t="s">
        <v>176</v>
      </c>
      <c r="E141" s="59" t="s">
        <v>329</v>
      </c>
      <c r="F141" s="16" t="s">
        <v>330</v>
      </c>
      <c r="G141" s="16"/>
      <c r="H141" s="16"/>
      <c r="I141" s="18" t="s">
        <v>252</v>
      </c>
      <c r="J141" s="18"/>
      <c r="K141" s="18"/>
      <c r="L141" s="18" t="s">
        <v>252</v>
      </c>
      <c r="M141" s="18"/>
      <c r="N141" s="18"/>
      <c r="O141" s="20" t="s">
        <v>331</v>
      </c>
    </row>
    <row r="142" spans="1:15" ht="36">
      <c r="A142" s="100">
        <v>40544</v>
      </c>
      <c r="B142" s="76" t="s">
        <v>163</v>
      </c>
      <c r="C142" s="58" t="s">
        <v>240</v>
      </c>
      <c r="D142" s="58" t="s">
        <v>174</v>
      </c>
      <c r="E142" s="59" t="s">
        <v>461</v>
      </c>
      <c r="F142" s="16" t="s">
        <v>462</v>
      </c>
      <c r="G142" s="16"/>
      <c r="H142" s="16"/>
      <c r="I142" s="18" t="s">
        <v>252</v>
      </c>
      <c r="J142" s="18"/>
      <c r="K142" s="18"/>
      <c r="L142" s="18"/>
      <c r="M142" s="18" t="s">
        <v>252</v>
      </c>
      <c r="N142" s="18" t="s">
        <v>252</v>
      </c>
      <c r="O142" s="20" t="s">
        <v>463</v>
      </c>
    </row>
    <row r="143" spans="1:15" ht="27.75">
      <c r="A143" s="100">
        <v>40544</v>
      </c>
      <c r="B143" s="42" t="s">
        <v>207</v>
      </c>
      <c r="C143" s="58" t="s">
        <v>552</v>
      </c>
      <c r="D143" s="58" t="s">
        <v>176</v>
      </c>
      <c r="E143" s="59" t="s">
        <v>557</v>
      </c>
      <c r="F143" s="16" t="s">
        <v>558</v>
      </c>
      <c r="G143" s="16"/>
      <c r="H143" s="16"/>
      <c r="I143" s="18" t="s">
        <v>252</v>
      </c>
      <c r="J143" s="18"/>
      <c r="K143" s="18" t="s">
        <v>252</v>
      </c>
      <c r="L143" s="18"/>
      <c r="M143" s="18"/>
      <c r="N143" s="18"/>
      <c r="O143" s="20" t="s">
        <v>559</v>
      </c>
    </row>
    <row r="144" spans="1:15" ht="16.5">
      <c r="A144" s="100">
        <v>40544</v>
      </c>
      <c r="B144" s="57" t="s">
        <v>213</v>
      </c>
      <c r="C144" s="58" t="s">
        <v>191</v>
      </c>
      <c r="D144" s="58" t="s">
        <v>185</v>
      </c>
      <c r="E144" s="59" t="s">
        <v>284</v>
      </c>
      <c r="F144" s="16" t="s">
        <v>285</v>
      </c>
      <c r="G144" s="16"/>
      <c r="H144" s="16"/>
      <c r="I144" s="18" t="s">
        <v>252</v>
      </c>
      <c r="J144" s="18" t="s">
        <v>252</v>
      </c>
      <c r="K144" s="18" t="s">
        <v>252</v>
      </c>
      <c r="L144" s="18"/>
      <c r="M144" s="18"/>
      <c r="N144" s="18"/>
      <c r="O144" s="20" t="s">
        <v>286</v>
      </c>
    </row>
    <row r="145" spans="1:15" ht="27.75">
      <c r="A145" s="100">
        <v>40544</v>
      </c>
      <c r="B145" s="57" t="s">
        <v>213</v>
      </c>
      <c r="C145" s="58" t="s">
        <v>240</v>
      </c>
      <c r="D145" s="58" t="s">
        <v>181</v>
      </c>
      <c r="E145" s="59" t="s">
        <v>458</v>
      </c>
      <c r="F145" s="16" t="s">
        <v>459</v>
      </c>
      <c r="G145" s="16"/>
      <c r="H145" s="16"/>
      <c r="I145" s="18" t="s">
        <v>252</v>
      </c>
      <c r="J145" s="18"/>
      <c r="K145" s="18"/>
      <c r="L145" s="18" t="s">
        <v>252</v>
      </c>
      <c r="M145" s="18" t="s">
        <v>252</v>
      </c>
      <c r="N145" s="18" t="s">
        <v>252</v>
      </c>
      <c r="O145" s="20" t="s">
        <v>460</v>
      </c>
    </row>
    <row r="146" spans="1:15" ht="27.75">
      <c r="A146" s="103">
        <v>40544</v>
      </c>
      <c r="B146" s="38" t="s">
        <v>95</v>
      </c>
      <c r="C146" s="58" t="s">
        <v>354</v>
      </c>
      <c r="D146" s="58" t="s">
        <v>355</v>
      </c>
      <c r="E146" s="59" t="s">
        <v>356</v>
      </c>
      <c r="F146" s="16" t="s">
        <v>357</v>
      </c>
      <c r="G146" s="16"/>
      <c r="H146" s="65"/>
      <c r="I146" s="21" t="s">
        <v>252</v>
      </c>
      <c r="J146" s="21"/>
      <c r="K146" s="21"/>
      <c r="L146" s="21"/>
      <c r="M146" s="21"/>
      <c r="N146" s="21"/>
      <c r="O146" s="20" t="s">
        <v>358</v>
      </c>
    </row>
    <row r="147" spans="1:15" ht="42">
      <c r="A147" s="100">
        <v>40544</v>
      </c>
      <c r="B147" s="45" t="s">
        <v>214</v>
      </c>
      <c r="C147" s="58" t="s">
        <v>205</v>
      </c>
      <c r="D147" s="58" t="s">
        <v>182</v>
      </c>
      <c r="E147" s="59" t="s">
        <v>424</v>
      </c>
      <c r="F147" s="16" t="s">
        <v>425</v>
      </c>
      <c r="G147" s="16"/>
      <c r="H147" s="16"/>
      <c r="I147" s="18" t="s">
        <v>252</v>
      </c>
      <c r="J147" s="18" t="s">
        <v>252</v>
      </c>
      <c r="K147" s="18" t="s">
        <v>252</v>
      </c>
      <c r="L147" s="18" t="s">
        <v>252</v>
      </c>
      <c r="M147" s="18"/>
      <c r="N147" s="18"/>
      <c r="O147" s="20" t="s">
        <v>426</v>
      </c>
    </row>
    <row r="148" spans="1:15" ht="27.75">
      <c r="A148" s="103">
        <v>40575</v>
      </c>
      <c r="B148" s="27" t="s">
        <v>32</v>
      </c>
      <c r="C148" s="58" t="s">
        <v>349</v>
      </c>
      <c r="D148" s="58" t="s">
        <v>350</v>
      </c>
      <c r="E148" s="59" t="s">
        <v>351</v>
      </c>
      <c r="F148" s="64" t="s">
        <v>352</v>
      </c>
      <c r="G148" s="65"/>
      <c r="H148" s="16"/>
      <c r="I148" s="18" t="s">
        <v>252</v>
      </c>
      <c r="J148" s="18" t="s">
        <v>252</v>
      </c>
      <c r="K148" s="18" t="s">
        <v>252</v>
      </c>
      <c r="L148" s="18" t="s">
        <v>252</v>
      </c>
      <c r="M148" s="18"/>
      <c r="N148" s="18"/>
      <c r="O148" s="20" t="s">
        <v>353</v>
      </c>
    </row>
    <row r="149" spans="1:15" ht="42">
      <c r="A149" s="100">
        <v>40575</v>
      </c>
      <c r="B149" s="25" t="s">
        <v>164</v>
      </c>
      <c r="C149" s="58" t="s">
        <v>191</v>
      </c>
      <c r="D149" s="58" t="s">
        <v>174</v>
      </c>
      <c r="E149" s="59" t="s">
        <v>290</v>
      </c>
      <c r="F149" s="16" t="s">
        <v>291</v>
      </c>
      <c r="G149" s="16"/>
      <c r="H149" s="16"/>
      <c r="I149" s="18" t="s">
        <v>252</v>
      </c>
      <c r="J149" s="18"/>
      <c r="K149" s="18" t="s">
        <v>252</v>
      </c>
      <c r="L149" s="18" t="s">
        <v>252</v>
      </c>
      <c r="M149" s="18"/>
      <c r="N149" s="18"/>
      <c r="O149" s="20" t="s">
        <v>292</v>
      </c>
    </row>
    <row r="150" spans="1:15" ht="27.75">
      <c r="A150" s="100">
        <v>40575</v>
      </c>
      <c r="B150" s="34" t="s">
        <v>212</v>
      </c>
      <c r="C150" s="58" t="s">
        <v>219</v>
      </c>
      <c r="D150" s="58" t="s">
        <v>154</v>
      </c>
      <c r="E150" s="59" t="s">
        <v>373</v>
      </c>
      <c r="F150" s="16" t="s">
        <v>374</v>
      </c>
      <c r="G150" s="65"/>
      <c r="H150" s="16"/>
      <c r="I150" s="18" t="s">
        <v>252</v>
      </c>
      <c r="J150" s="18"/>
      <c r="K150" s="18"/>
      <c r="L150" s="18"/>
      <c r="M150" s="18"/>
      <c r="N150" s="18"/>
      <c r="O150" s="20" t="s">
        <v>375</v>
      </c>
    </row>
    <row r="151" spans="1:15" ht="42">
      <c r="A151" s="100">
        <v>40575</v>
      </c>
      <c r="B151" s="34" t="s">
        <v>212</v>
      </c>
      <c r="C151" s="58" t="s">
        <v>199</v>
      </c>
      <c r="D151" s="58" t="s">
        <v>178</v>
      </c>
      <c r="E151" s="63" t="s">
        <v>512</v>
      </c>
      <c r="F151" s="16" t="s">
        <v>513</v>
      </c>
      <c r="G151" s="16"/>
      <c r="H151" s="16"/>
      <c r="I151" s="18" t="s">
        <v>252</v>
      </c>
      <c r="J151" s="18"/>
      <c r="K151" s="18"/>
      <c r="L151" s="18" t="s">
        <v>252</v>
      </c>
      <c r="M151" s="18"/>
      <c r="N151" s="18"/>
      <c r="O151" s="20" t="s">
        <v>514</v>
      </c>
    </row>
    <row r="152" spans="1:15" ht="24">
      <c r="A152" s="100">
        <v>40575</v>
      </c>
      <c r="B152" s="78" t="s">
        <v>211</v>
      </c>
      <c r="C152" s="58" t="s">
        <v>187</v>
      </c>
      <c r="D152" s="58" t="s">
        <v>176</v>
      </c>
      <c r="E152" s="59" t="s">
        <v>409</v>
      </c>
      <c r="F152" s="16" t="s">
        <v>410</v>
      </c>
      <c r="G152" s="16"/>
      <c r="H152" s="16"/>
      <c r="I152" s="18" t="s">
        <v>252</v>
      </c>
      <c r="J152" s="18"/>
      <c r="K152" s="18"/>
      <c r="L152" s="18" t="s">
        <v>252</v>
      </c>
      <c r="M152" s="18"/>
      <c r="N152" s="18"/>
      <c r="O152" s="20" t="s">
        <v>411</v>
      </c>
    </row>
    <row r="153" spans="1:15" ht="24">
      <c r="A153" s="100">
        <v>40575</v>
      </c>
      <c r="B153" s="78" t="s">
        <v>211</v>
      </c>
      <c r="C153" s="58" t="s">
        <v>187</v>
      </c>
      <c r="D153" s="58" t="s">
        <v>182</v>
      </c>
      <c r="E153" s="59" t="s">
        <v>379</v>
      </c>
      <c r="F153" s="16" t="s">
        <v>380</v>
      </c>
      <c r="G153" s="16"/>
      <c r="H153" s="16"/>
      <c r="I153" s="18" t="s">
        <v>252</v>
      </c>
      <c r="J153" s="18"/>
      <c r="K153" s="18"/>
      <c r="L153" s="18"/>
      <c r="M153" s="18"/>
      <c r="N153" s="18"/>
      <c r="O153" s="20" t="s">
        <v>381</v>
      </c>
    </row>
    <row r="154" spans="1:15" ht="27.75">
      <c r="A154" s="100">
        <v>40597</v>
      </c>
      <c r="B154" s="42" t="s">
        <v>207</v>
      </c>
      <c r="C154" s="58" t="s">
        <v>563</v>
      </c>
      <c r="D154" s="58" t="s">
        <v>176</v>
      </c>
      <c r="E154" s="63" t="s">
        <v>564</v>
      </c>
      <c r="F154" s="16"/>
      <c r="G154" s="16"/>
      <c r="H154" s="64" t="s">
        <v>565</v>
      </c>
      <c r="I154" s="18" t="s">
        <v>252</v>
      </c>
      <c r="J154" s="18" t="s">
        <v>252</v>
      </c>
      <c r="K154" s="18" t="s">
        <v>252</v>
      </c>
      <c r="L154" s="18" t="s">
        <v>252</v>
      </c>
      <c r="M154" s="18"/>
      <c r="N154" s="18"/>
      <c r="O154" s="20" t="s">
        <v>566</v>
      </c>
    </row>
    <row r="155" spans="1:15" ht="27.75">
      <c r="A155" s="100">
        <v>40603</v>
      </c>
      <c r="B155" s="76" t="s">
        <v>163</v>
      </c>
      <c r="C155" s="58" t="s">
        <v>240</v>
      </c>
      <c r="D155" s="58" t="s">
        <v>452</v>
      </c>
      <c r="E155" s="59" t="s">
        <v>453</v>
      </c>
      <c r="F155" s="16" t="s">
        <v>454</v>
      </c>
      <c r="G155" s="16"/>
      <c r="H155" s="16"/>
      <c r="I155" s="18" t="s">
        <v>252</v>
      </c>
      <c r="J155" s="18"/>
      <c r="K155" s="18" t="s">
        <v>252</v>
      </c>
      <c r="L155" s="18" t="s">
        <v>252</v>
      </c>
      <c r="M155" s="18"/>
      <c r="N155" s="18"/>
      <c r="O155" s="20" t="s">
        <v>451</v>
      </c>
    </row>
    <row r="156" spans="1:15" ht="36">
      <c r="A156" s="100">
        <v>40603</v>
      </c>
      <c r="B156" s="42" t="s">
        <v>207</v>
      </c>
      <c r="C156" s="58" t="s">
        <v>552</v>
      </c>
      <c r="D156" s="58" t="s">
        <v>197</v>
      </c>
      <c r="E156" s="59" t="s">
        <v>560</v>
      </c>
      <c r="F156" s="64" t="s">
        <v>561</v>
      </c>
      <c r="G156" s="16"/>
      <c r="H156" s="16"/>
      <c r="I156" s="18" t="s">
        <v>252</v>
      </c>
      <c r="J156" s="18"/>
      <c r="K156" s="18"/>
      <c r="L156" s="18"/>
      <c r="M156" s="18" t="s">
        <v>252</v>
      </c>
      <c r="N156" s="18" t="s">
        <v>252</v>
      </c>
      <c r="O156" s="20" t="s">
        <v>562</v>
      </c>
    </row>
    <row r="157" spans="1:15" ht="36">
      <c r="A157" s="100">
        <v>40603</v>
      </c>
      <c r="B157" s="25" t="s">
        <v>164</v>
      </c>
      <c r="C157" s="58" t="s">
        <v>196</v>
      </c>
      <c r="D157" s="58" t="s">
        <v>197</v>
      </c>
      <c r="E157" s="63" t="s">
        <v>546</v>
      </c>
      <c r="F157" s="16" t="s">
        <v>547</v>
      </c>
      <c r="G157" s="16"/>
      <c r="H157" s="16"/>
      <c r="I157" s="18" t="s">
        <v>252</v>
      </c>
      <c r="J157" s="18"/>
      <c r="K157" s="18"/>
      <c r="L157" s="18"/>
      <c r="M157" s="18"/>
      <c r="N157" s="18"/>
      <c r="O157" s="20" t="s">
        <v>548</v>
      </c>
    </row>
    <row r="158" spans="1:15" ht="24">
      <c r="A158" s="100">
        <v>40603</v>
      </c>
      <c r="B158" s="78" t="s">
        <v>211</v>
      </c>
      <c r="C158" s="58" t="s">
        <v>187</v>
      </c>
      <c r="D158" s="58" t="s">
        <v>396</v>
      </c>
      <c r="E158" s="59" t="s">
        <v>397</v>
      </c>
      <c r="F158" s="16" t="s">
        <v>398</v>
      </c>
      <c r="G158" s="16"/>
      <c r="H158" s="16"/>
      <c r="I158" s="18" t="s">
        <v>252</v>
      </c>
      <c r="J158" s="18"/>
      <c r="K158" s="18"/>
      <c r="L158" s="18"/>
      <c r="M158" s="18"/>
      <c r="N158" s="18"/>
      <c r="O158" s="20" t="s">
        <v>399</v>
      </c>
    </row>
    <row r="159" spans="1:15" ht="24">
      <c r="A159" s="100">
        <v>40603</v>
      </c>
      <c r="B159" s="78" t="s">
        <v>211</v>
      </c>
      <c r="C159" s="58" t="s">
        <v>187</v>
      </c>
      <c r="D159" s="58" t="s">
        <v>382</v>
      </c>
      <c r="E159" s="63" t="s">
        <v>383</v>
      </c>
      <c r="F159" s="16" t="s">
        <v>384</v>
      </c>
      <c r="G159" s="16"/>
      <c r="H159" s="16"/>
      <c r="I159" s="18"/>
      <c r="J159" s="18"/>
      <c r="K159" s="18"/>
      <c r="L159" s="18"/>
      <c r="M159" s="18"/>
      <c r="N159" s="18"/>
      <c r="O159" s="20" t="s">
        <v>385</v>
      </c>
    </row>
    <row r="160" spans="1:15" ht="27.75">
      <c r="A160" s="100">
        <v>40603</v>
      </c>
      <c r="B160" s="45" t="s">
        <v>214</v>
      </c>
      <c r="C160" s="58" t="s">
        <v>216</v>
      </c>
      <c r="D160" s="58" t="s">
        <v>185</v>
      </c>
      <c r="E160" s="63" t="s">
        <v>412</v>
      </c>
      <c r="F160" s="16" t="s">
        <v>413</v>
      </c>
      <c r="G160" s="16"/>
      <c r="H160" s="16"/>
      <c r="I160" s="18" t="s">
        <v>252</v>
      </c>
      <c r="J160" s="18" t="s">
        <v>252</v>
      </c>
      <c r="K160" s="18"/>
      <c r="L160" s="18" t="s">
        <v>252</v>
      </c>
      <c r="M160" s="18"/>
      <c r="N160" s="18"/>
      <c r="O160" s="20" t="s">
        <v>414</v>
      </c>
    </row>
    <row r="161" spans="1:15" ht="27.75">
      <c r="A161" s="100">
        <v>40613</v>
      </c>
      <c r="B161" s="28" t="s">
        <v>210</v>
      </c>
      <c r="C161" s="58" t="s">
        <v>179</v>
      </c>
      <c r="D161" s="58" t="s">
        <v>335</v>
      </c>
      <c r="E161" s="63" t="s">
        <v>336</v>
      </c>
      <c r="F161" s="16"/>
      <c r="G161" s="64" t="s">
        <v>337</v>
      </c>
      <c r="H161" s="16"/>
      <c r="I161" s="18" t="s">
        <v>252</v>
      </c>
      <c r="J161" s="18"/>
      <c r="K161" s="18" t="s">
        <v>252</v>
      </c>
      <c r="L161" s="18" t="s">
        <v>252</v>
      </c>
      <c r="M161" s="18" t="s">
        <v>252</v>
      </c>
      <c r="N161" s="18"/>
      <c r="O161" s="20" t="s">
        <v>338</v>
      </c>
    </row>
    <row r="162" spans="1:15" ht="36">
      <c r="A162" s="100">
        <v>40613</v>
      </c>
      <c r="B162" s="57" t="s">
        <v>213</v>
      </c>
      <c r="C162" s="58" t="s">
        <v>191</v>
      </c>
      <c r="D162" s="58" t="s">
        <v>192</v>
      </c>
      <c r="E162" s="59" t="s">
        <v>250</v>
      </c>
      <c r="F162" s="16" t="s">
        <v>251</v>
      </c>
      <c r="G162" s="16"/>
      <c r="H162" s="16"/>
      <c r="I162" s="18" t="s">
        <v>252</v>
      </c>
      <c r="J162" s="18" t="s">
        <v>252</v>
      </c>
      <c r="K162" s="18"/>
      <c r="L162" s="18"/>
      <c r="M162" s="18"/>
      <c r="N162" s="18"/>
      <c r="O162" s="20" t="s">
        <v>253</v>
      </c>
    </row>
    <row r="163" spans="1:15" ht="48">
      <c r="A163" s="100">
        <v>40634</v>
      </c>
      <c r="B163" s="76" t="s">
        <v>163</v>
      </c>
      <c r="C163" s="58" t="s">
        <v>240</v>
      </c>
      <c r="D163" s="58" t="s">
        <v>471</v>
      </c>
      <c r="E163" s="59" t="s">
        <v>472</v>
      </c>
      <c r="F163" s="16" t="s">
        <v>473</v>
      </c>
      <c r="G163" s="16"/>
      <c r="H163" s="16"/>
      <c r="I163" s="18" t="s">
        <v>252</v>
      </c>
      <c r="J163" s="18" t="s">
        <v>252</v>
      </c>
      <c r="K163" s="18"/>
      <c r="L163" s="18" t="s">
        <v>252</v>
      </c>
      <c r="M163" s="18" t="s">
        <v>252</v>
      </c>
      <c r="N163" s="18" t="s">
        <v>252</v>
      </c>
      <c r="O163" s="20" t="s">
        <v>474</v>
      </c>
    </row>
    <row r="164" spans="1:15" ht="48">
      <c r="A164" s="100">
        <v>40634</v>
      </c>
      <c r="B164" s="88" t="s">
        <v>161</v>
      </c>
      <c r="C164" s="58" t="s">
        <v>191</v>
      </c>
      <c r="D164" s="58" t="s">
        <v>176</v>
      </c>
      <c r="E164" s="59" t="s">
        <v>296</v>
      </c>
      <c r="F164" s="64" t="s">
        <v>297</v>
      </c>
      <c r="G164" s="16"/>
      <c r="H164" s="16"/>
      <c r="I164" s="18" t="s">
        <v>252</v>
      </c>
      <c r="J164" s="18" t="s">
        <v>252</v>
      </c>
      <c r="K164" s="18" t="s">
        <v>252</v>
      </c>
      <c r="L164" s="18" t="s">
        <v>252</v>
      </c>
      <c r="M164" s="18"/>
      <c r="N164" s="18"/>
      <c r="O164" s="20" t="s">
        <v>298</v>
      </c>
    </row>
    <row r="165" spans="1:15" ht="27.75">
      <c r="A165" s="100">
        <v>40634</v>
      </c>
      <c r="B165" s="77" t="s">
        <v>161</v>
      </c>
      <c r="C165" s="58" t="s">
        <v>311</v>
      </c>
      <c r="D165" s="58" t="s">
        <v>176</v>
      </c>
      <c r="E165" s="59" t="s">
        <v>312</v>
      </c>
      <c r="F165" s="16" t="s">
        <v>313</v>
      </c>
      <c r="G165" s="16"/>
      <c r="H165" s="16"/>
      <c r="I165" s="18" t="s">
        <v>252</v>
      </c>
      <c r="J165" s="18" t="s">
        <v>252</v>
      </c>
      <c r="K165" s="18" t="s">
        <v>252</v>
      </c>
      <c r="L165" s="18" t="s">
        <v>252</v>
      </c>
      <c r="M165" s="18" t="s">
        <v>252</v>
      </c>
      <c r="N165" s="18" t="s">
        <v>252</v>
      </c>
      <c r="O165" s="20" t="s">
        <v>314</v>
      </c>
    </row>
    <row r="166" spans="1:15" ht="24">
      <c r="A166" s="100">
        <v>40634</v>
      </c>
      <c r="B166" s="45" t="s">
        <v>214</v>
      </c>
      <c r="C166" s="58" t="s">
        <v>204</v>
      </c>
      <c r="D166" s="58" t="s">
        <v>197</v>
      </c>
      <c r="E166" s="59" t="s">
        <v>482</v>
      </c>
      <c r="F166" s="16" t="s">
        <v>483</v>
      </c>
      <c r="G166" s="16"/>
      <c r="H166" s="16"/>
      <c r="I166" s="18" t="s">
        <v>252</v>
      </c>
      <c r="J166" s="18"/>
      <c r="K166" s="18"/>
      <c r="L166" s="18" t="s">
        <v>252</v>
      </c>
      <c r="M166" s="18"/>
      <c r="N166" s="18"/>
      <c r="O166" s="20" t="s">
        <v>331</v>
      </c>
    </row>
    <row r="167" spans="1:15" ht="42">
      <c r="A167" s="100">
        <v>40634</v>
      </c>
      <c r="B167" s="36" t="s">
        <v>208</v>
      </c>
      <c r="C167" s="58" t="s">
        <v>193</v>
      </c>
      <c r="D167" s="58" t="s">
        <v>176</v>
      </c>
      <c r="E167" s="59" t="s">
        <v>323</v>
      </c>
      <c r="F167" s="16" t="s">
        <v>324</v>
      </c>
      <c r="G167" s="16"/>
      <c r="H167" s="16"/>
      <c r="I167" s="18" t="s">
        <v>252</v>
      </c>
      <c r="J167" s="18" t="s">
        <v>252</v>
      </c>
      <c r="K167" s="18" t="s">
        <v>252</v>
      </c>
      <c r="L167" s="18" t="s">
        <v>252</v>
      </c>
      <c r="M167" s="18" t="s">
        <v>252</v>
      </c>
      <c r="N167" s="18" t="s">
        <v>252</v>
      </c>
      <c r="O167" s="20" t="s">
        <v>325</v>
      </c>
    </row>
    <row r="168" spans="1:15" ht="27.75">
      <c r="A168" s="100">
        <v>40664</v>
      </c>
      <c r="B168" s="87" t="s">
        <v>210</v>
      </c>
      <c r="C168" s="58" t="s">
        <v>567</v>
      </c>
      <c r="D168" s="69" t="s">
        <v>224</v>
      </c>
      <c r="E168" s="59" t="s">
        <v>568</v>
      </c>
      <c r="F168" s="16" t="s">
        <v>569</v>
      </c>
      <c r="G168" s="16"/>
      <c r="H168" s="16"/>
      <c r="I168" s="18" t="s">
        <v>252</v>
      </c>
      <c r="J168" s="18"/>
      <c r="K168" s="18"/>
      <c r="L168" s="18"/>
      <c r="M168" s="18"/>
      <c r="N168" s="18"/>
      <c r="O168" s="20" t="s">
        <v>570</v>
      </c>
    </row>
    <row r="169" spans="1:15" ht="36">
      <c r="A169" s="100">
        <v>40664</v>
      </c>
      <c r="B169" s="76" t="s">
        <v>163</v>
      </c>
      <c r="C169" s="58" t="s">
        <v>240</v>
      </c>
      <c r="D169" s="58" t="s">
        <v>382</v>
      </c>
      <c r="E169" s="59" t="s">
        <v>455</v>
      </c>
      <c r="F169" s="68" t="s">
        <v>456</v>
      </c>
      <c r="G169" s="16"/>
      <c r="H169" s="16"/>
      <c r="I169" s="18" t="s">
        <v>252</v>
      </c>
      <c r="J169" s="18"/>
      <c r="K169" s="18"/>
      <c r="L169" s="18"/>
      <c r="M169" s="18" t="s">
        <v>252</v>
      </c>
      <c r="N169" s="18" t="s">
        <v>252</v>
      </c>
      <c r="O169" s="20" t="s">
        <v>457</v>
      </c>
    </row>
    <row r="170" spans="1:15" ht="27.75">
      <c r="A170" s="100">
        <v>40664</v>
      </c>
      <c r="B170" s="76" t="s">
        <v>163</v>
      </c>
      <c r="C170" s="58" t="s">
        <v>240</v>
      </c>
      <c r="D170" s="58" t="s">
        <v>319</v>
      </c>
      <c r="E170" s="63" t="s">
        <v>449</v>
      </c>
      <c r="F170" s="16" t="s">
        <v>450</v>
      </c>
      <c r="G170" s="16"/>
      <c r="H170" s="16"/>
      <c r="I170" s="18" t="s">
        <v>252</v>
      </c>
      <c r="J170" s="18"/>
      <c r="K170" s="18" t="s">
        <v>252</v>
      </c>
      <c r="L170" s="18" t="s">
        <v>252</v>
      </c>
      <c r="M170" s="18"/>
      <c r="N170" s="18"/>
      <c r="O170" s="20" t="s">
        <v>451</v>
      </c>
    </row>
    <row r="171" spans="1:15" ht="27.75">
      <c r="A171" s="100">
        <v>40664</v>
      </c>
      <c r="B171" s="76" t="s">
        <v>163</v>
      </c>
      <c r="C171" s="58" t="s">
        <v>475</v>
      </c>
      <c r="D171" s="58" t="s">
        <v>148</v>
      </c>
      <c r="E171" s="66" t="s">
        <v>476</v>
      </c>
      <c r="F171" s="16" t="s">
        <v>477</v>
      </c>
      <c r="G171" s="16"/>
      <c r="H171" s="65"/>
      <c r="I171" s="21"/>
      <c r="J171" s="21"/>
      <c r="K171" s="21"/>
      <c r="L171" s="21"/>
      <c r="M171" s="21"/>
      <c r="N171" s="21"/>
      <c r="O171" s="20" t="s">
        <v>478</v>
      </c>
    </row>
    <row r="172" spans="1:15" ht="24">
      <c r="A172" s="100">
        <v>40664</v>
      </c>
      <c r="B172" s="77" t="s">
        <v>161</v>
      </c>
      <c r="C172" s="58" t="s">
        <v>191</v>
      </c>
      <c r="D172" s="58" t="s">
        <v>176</v>
      </c>
      <c r="E172" s="59" t="s">
        <v>281</v>
      </c>
      <c r="F172" s="16" t="s">
        <v>282</v>
      </c>
      <c r="G172" s="16"/>
      <c r="H172" s="16"/>
      <c r="I172" s="18" t="s">
        <v>252</v>
      </c>
      <c r="J172" s="18" t="s">
        <v>252</v>
      </c>
      <c r="K172" s="18" t="s">
        <v>252</v>
      </c>
      <c r="L172" s="18" t="s">
        <v>252</v>
      </c>
      <c r="M172" s="18" t="s">
        <v>252</v>
      </c>
      <c r="N172" s="18" t="s">
        <v>252</v>
      </c>
      <c r="O172" s="20" t="s">
        <v>283</v>
      </c>
    </row>
    <row r="173" spans="1:15" ht="24">
      <c r="A173" s="100">
        <v>40664</v>
      </c>
      <c r="B173" s="42" t="s">
        <v>207</v>
      </c>
      <c r="C173" s="58" t="s">
        <v>157</v>
      </c>
      <c r="D173" s="58" t="s">
        <v>185</v>
      </c>
      <c r="E173" s="59" t="s">
        <v>515</v>
      </c>
      <c r="F173" s="16" t="s">
        <v>516</v>
      </c>
      <c r="G173" s="16"/>
      <c r="H173" s="16"/>
      <c r="I173" s="18" t="s">
        <v>252</v>
      </c>
      <c r="J173" s="18"/>
      <c r="K173" s="18"/>
      <c r="L173" s="18"/>
      <c r="M173" s="18" t="s">
        <v>252</v>
      </c>
      <c r="N173" s="18" t="s">
        <v>252</v>
      </c>
      <c r="O173" s="20" t="s">
        <v>517</v>
      </c>
    </row>
    <row r="174" spans="1:15" ht="24">
      <c r="A174" s="100">
        <v>40664</v>
      </c>
      <c r="B174" s="26" t="s">
        <v>582</v>
      </c>
      <c r="C174" s="58" t="s">
        <v>196</v>
      </c>
      <c r="D174" s="58" t="s">
        <v>319</v>
      </c>
      <c r="E174" s="67" t="s">
        <v>549</v>
      </c>
      <c r="F174" s="16" t="s">
        <v>550</v>
      </c>
      <c r="G174" s="16"/>
      <c r="H174" s="16"/>
      <c r="I174" s="18" t="s">
        <v>252</v>
      </c>
      <c r="J174" s="18"/>
      <c r="K174" s="18"/>
      <c r="L174" s="18"/>
      <c r="M174" s="18" t="s">
        <v>252</v>
      </c>
      <c r="N174" s="18" t="s">
        <v>252</v>
      </c>
      <c r="O174" s="20" t="s">
        <v>551</v>
      </c>
    </row>
    <row r="175" spans="1:15" ht="27.75">
      <c r="A175" s="100">
        <v>40674</v>
      </c>
      <c r="B175" s="76" t="s">
        <v>163</v>
      </c>
      <c r="C175" s="58" t="s">
        <v>475</v>
      </c>
      <c r="D175" s="58" t="s">
        <v>192</v>
      </c>
      <c r="E175" s="59" t="s">
        <v>479</v>
      </c>
      <c r="F175" s="16" t="s">
        <v>480</v>
      </c>
      <c r="G175" s="16"/>
      <c r="H175" s="16"/>
      <c r="I175" s="18" t="s">
        <v>252</v>
      </c>
      <c r="J175" s="18"/>
      <c r="K175" s="18" t="s">
        <v>252</v>
      </c>
      <c r="L175" s="18" t="s">
        <v>252</v>
      </c>
      <c r="M175" s="18"/>
      <c r="N175" s="18"/>
      <c r="O175" s="20" t="s">
        <v>481</v>
      </c>
    </row>
    <row r="176" spans="1:15" ht="36">
      <c r="A176" s="100">
        <v>40695</v>
      </c>
      <c r="B176" s="78" t="s">
        <v>211</v>
      </c>
      <c r="C176" s="58" t="s">
        <v>198</v>
      </c>
      <c r="D176" s="58" t="s">
        <v>316</v>
      </c>
      <c r="E176" s="59" t="s">
        <v>436</v>
      </c>
      <c r="F176" s="16" t="s">
        <v>437</v>
      </c>
      <c r="G176" s="16"/>
      <c r="H176" s="16"/>
      <c r="I176" s="18" t="s">
        <v>252</v>
      </c>
      <c r="J176" s="18"/>
      <c r="K176" s="18" t="s">
        <v>252</v>
      </c>
      <c r="L176" s="18"/>
      <c r="M176" s="18"/>
      <c r="N176" s="18"/>
      <c r="O176" s="20" t="s">
        <v>438</v>
      </c>
    </row>
    <row r="177" spans="1:15" ht="27.75">
      <c r="A177" s="100">
        <v>40695</v>
      </c>
      <c r="B177" s="35" t="s">
        <v>208</v>
      </c>
      <c r="C177" s="58" t="s">
        <v>193</v>
      </c>
      <c r="D177" s="58" t="s">
        <v>176</v>
      </c>
      <c r="E177" s="59" t="s">
        <v>332</v>
      </c>
      <c r="F177" s="16" t="s">
        <v>333</v>
      </c>
      <c r="G177" s="16"/>
      <c r="H177" s="16"/>
      <c r="I177" s="18" t="s">
        <v>252</v>
      </c>
      <c r="J177" s="18"/>
      <c r="K177" s="18" t="s">
        <v>252</v>
      </c>
      <c r="L177" s="18" t="s">
        <v>252</v>
      </c>
      <c r="M177" s="18"/>
      <c r="N177" s="18"/>
      <c r="O177" s="20" t="s">
        <v>334</v>
      </c>
    </row>
    <row r="178" spans="1:15" ht="48">
      <c r="A178" s="100">
        <v>40725</v>
      </c>
      <c r="B178" s="89" t="s">
        <v>583</v>
      </c>
      <c r="C178" s="58" t="s">
        <v>191</v>
      </c>
      <c r="D178" s="58" t="s">
        <v>181</v>
      </c>
      <c r="E178" s="63" t="s">
        <v>278</v>
      </c>
      <c r="F178" s="16" t="s">
        <v>279</v>
      </c>
      <c r="G178" s="16"/>
      <c r="H178" s="16"/>
      <c r="I178" s="18" t="s">
        <v>252</v>
      </c>
      <c r="J178" s="18"/>
      <c r="K178" s="18"/>
      <c r="L178" s="18"/>
      <c r="M178" s="18" t="s">
        <v>252</v>
      </c>
      <c r="N178" s="18"/>
      <c r="O178" s="20" t="s">
        <v>280</v>
      </c>
    </row>
    <row r="179" spans="1:15" ht="27.75">
      <c r="A179" s="100">
        <v>40725</v>
      </c>
      <c r="B179" s="38" t="s">
        <v>95</v>
      </c>
      <c r="C179" s="58" t="s">
        <v>228</v>
      </c>
      <c r="D179" s="58" t="s">
        <v>178</v>
      </c>
      <c r="E179" s="81" t="s">
        <v>487</v>
      </c>
      <c r="F179" s="16" t="s">
        <v>488</v>
      </c>
      <c r="G179" s="16"/>
      <c r="H179" s="16"/>
      <c r="I179" s="18" t="s">
        <v>252</v>
      </c>
      <c r="J179" s="18"/>
      <c r="K179" s="18"/>
      <c r="L179" s="18"/>
      <c r="M179" s="18" t="s">
        <v>252</v>
      </c>
      <c r="N179" s="18" t="s">
        <v>252</v>
      </c>
      <c r="O179" s="20" t="s">
        <v>489</v>
      </c>
    </row>
    <row r="180" spans="1:15" ht="36">
      <c r="A180" s="100">
        <v>40725</v>
      </c>
      <c r="B180" s="34" t="s">
        <v>212</v>
      </c>
      <c r="C180" s="58" t="s">
        <v>219</v>
      </c>
      <c r="D180" s="58" t="s">
        <v>366</v>
      </c>
      <c r="E180" s="59" t="s">
        <v>367</v>
      </c>
      <c r="F180" s="16" t="s">
        <v>368</v>
      </c>
      <c r="G180" s="16"/>
      <c r="H180" s="16"/>
      <c r="I180" s="18" t="s">
        <v>252</v>
      </c>
      <c r="J180" s="18"/>
      <c r="K180" s="18"/>
      <c r="L180" s="18"/>
      <c r="M180" s="18"/>
      <c r="N180" s="18"/>
      <c r="O180" s="20" t="s">
        <v>369</v>
      </c>
    </row>
    <row r="181" spans="1:15" ht="24">
      <c r="A181" s="100">
        <v>40725</v>
      </c>
      <c r="B181" s="75" t="s">
        <v>580</v>
      </c>
      <c r="C181" s="58" t="s">
        <v>246</v>
      </c>
      <c r="D181" s="58" t="s">
        <v>183</v>
      </c>
      <c r="E181" s="59" t="s">
        <v>326</v>
      </c>
      <c r="F181" s="16" t="s">
        <v>327</v>
      </c>
      <c r="G181" s="16"/>
      <c r="H181" s="16"/>
      <c r="I181" s="18" t="s">
        <v>252</v>
      </c>
      <c r="J181" s="18" t="s">
        <v>252</v>
      </c>
      <c r="K181" s="18" t="s">
        <v>252</v>
      </c>
      <c r="L181" s="18" t="s">
        <v>252</v>
      </c>
      <c r="M181" s="18"/>
      <c r="N181" s="18"/>
      <c r="O181" s="20" t="s">
        <v>328</v>
      </c>
    </row>
    <row r="182" spans="1:15" ht="27.75">
      <c r="A182" s="100">
        <v>40725</v>
      </c>
      <c r="B182" s="78" t="s">
        <v>211</v>
      </c>
      <c r="C182" s="58" t="s">
        <v>187</v>
      </c>
      <c r="D182" s="58" t="s">
        <v>186</v>
      </c>
      <c r="E182" s="59" t="s">
        <v>390</v>
      </c>
      <c r="F182" s="16" t="s">
        <v>391</v>
      </c>
      <c r="G182" s="16"/>
      <c r="H182" s="16"/>
      <c r="I182" s="18" t="s">
        <v>252</v>
      </c>
      <c r="J182" s="18"/>
      <c r="K182" s="18"/>
      <c r="L182" s="18" t="s">
        <v>252</v>
      </c>
      <c r="M182" s="18" t="s">
        <v>252</v>
      </c>
      <c r="N182" s="18"/>
      <c r="O182" s="20" t="s">
        <v>392</v>
      </c>
    </row>
    <row r="183" spans="1:15" ht="27.75">
      <c r="A183" s="100">
        <v>40725</v>
      </c>
      <c r="B183" s="45" t="s">
        <v>214</v>
      </c>
      <c r="C183" s="58" t="s">
        <v>205</v>
      </c>
      <c r="D183" s="58" t="s">
        <v>186</v>
      </c>
      <c r="E183" s="59" t="s">
        <v>415</v>
      </c>
      <c r="F183" s="16" t="s">
        <v>416</v>
      </c>
      <c r="G183" s="16"/>
      <c r="H183" s="16"/>
      <c r="I183" s="18" t="s">
        <v>252</v>
      </c>
      <c r="J183" s="18" t="s">
        <v>252</v>
      </c>
      <c r="K183" s="18"/>
      <c r="L183" s="18" t="s">
        <v>252</v>
      </c>
      <c r="M183" s="18"/>
      <c r="N183" s="18"/>
      <c r="O183" s="20" t="s">
        <v>417</v>
      </c>
    </row>
    <row r="184" spans="1:15" ht="24">
      <c r="A184" s="103">
        <v>40756</v>
      </c>
      <c r="B184" s="29" t="s">
        <v>210</v>
      </c>
      <c r="C184" s="58" t="s">
        <v>179</v>
      </c>
      <c r="D184" s="58" t="s">
        <v>319</v>
      </c>
      <c r="E184" s="59" t="s">
        <v>346</v>
      </c>
      <c r="F184" s="16" t="s">
        <v>347</v>
      </c>
      <c r="G184" s="65"/>
      <c r="H184" s="16"/>
      <c r="I184" s="18" t="s">
        <v>252</v>
      </c>
      <c r="J184" s="18" t="s">
        <v>252</v>
      </c>
      <c r="K184" s="18"/>
      <c r="L184" s="18" t="s">
        <v>252</v>
      </c>
      <c r="M184" s="18" t="s">
        <v>252</v>
      </c>
      <c r="N184" s="18"/>
      <c r="O184" s="20" t="s">
        <v>348</v>
      </c>
    </row>
    <row r="185" spans="1:15" ht="48">
      <c r="A185" s="100">
        <v>40756</v>
      </c>
      <c r="B185" s="76" t="s">
        <v>163</v>
      </c>
      <c r="C185" s="58" t="s">
        <v>240</v>
      </c>
      <c r="D185" s="58" t="s">
        <v>467</v>
      </c>
      <c r="E185" s="59" t="s">
        <v>468</v>
      </c>
      <c r="F185" s="16" t="s">
        <v>469</v>
      </c>
      <c r="G185" s="16"/>
      <c r="H185" s="16"/>
      <c r="I185" s="18" t="s">
        <v>252</v>
      </c>
      <c r="J185" s="18" t="s">
        <v>252</v>
      </c>
      <c r="K185" s="18" t="s">
        <v>252</v>
      </c>
      <c r="L185" s="18"/>
      <c r="M185" s="18" t="s">
        <v>252</v>
      </c>
      <c r="N185" s="18" t="s">
        <v>252</v>
      </c>
      <c r="O185" s="20" t="s">
        <v>470</v>
      </c>
    </row>
    <row r="186" spans="1:15" ht="27.75">
      <c r="A186" s="100">
        <v>40756</v>
      </c>
      <c r="B186" s="25" t="s">
        <v>164</v>
      </c>
      <c r="C186" s="58" t="s">
        <v>315</v>
      </c>
      <c r="D186" s="58" t="s">
        <v>319</v>
      </c>
      <c r="E186" s="85" t="s">
        <v>320</v>
      </c>
      <c r="F186" s="16" t="s">
        <v>321</v>
      </c>
      <c r="G186" s="16"/>
      <c r="H186" s="16"/>
      <c r="I186" s="18"/>
      <c r="J186" s="18"/>
      <c r="K186" s="18"/>
      <c r="L186" s="18"/>
      <c r="M186" s="18" t="s">
        <v>252</v>
      </c>
      <c r="N186" s="18"/>
      <c r="O186" s="20" t="s">
        <v>322</v>
      </c>
    </row>
    <row r="187" spans="1:15" ht="27.75">
      <c r="A187" s="100">
        <v>40756</v>
      </c>
      <c r="B187" s="26" t="s">
        <v>582</v>
      </c>
      <c r="C187" s="58" t="s">
        <v>177</v>
      </c>
      <c r="D187" s="58" t="s">
        <v>185</v>
      </c>
      <c r="E187" s="59" t="s">
        <v>527</v>
      </c>
      <c r="F187" s="16" t="s">
        <v>528</v>
      </c>
      <c r="G187" s="16"/>
      <c r="H187" s="16"/>
      <c r="I187" s="18" t="s">
        <v>252</v>
      </c>
      <c r="J187" s="18"/>
      <c r="K187" s="18"/>
      <c r="L187" s="18"/>
      <c r="M187" s="18" t="s">
        <v>252</v>
      </c>
      <c r="N187" s="18"/>
      <c r="O187" s="20" t="s">
        <v>529</v>
      </c>
    </row>
    <row r="188" spans="1:15" ht="60">
      <c r="A188" s="100">
        <v>40756</v>
      </c>
      <c r="B188" s="45" t="s">
        <v>584</v>
      </c>
      <c r="C188" s="58" t="s">
        <v>153</v>
      </c>
      <c r="D188" s="58" t="s">
        <v>178</v>
      </c>
      <c r="E188" s="81" t="s">
        <v>363</v>
      </c>
      <c r="F188" s="16" t="s">
        <v>364</v>
      </c>
      <c r="G188" s="16"/>
      <c r="H188" s="16"/>
      <c r="I188" s="18" t="s">
        <v>252</v>
      </c>
      <c r="J188" s="18" t="s">
        <v>252</v>
      </c>
      <c r="K188" s="18" t="s">
        <v>252</v>
      </c>
      <c r="L188" s="18" t="s">
        <v>252</v>
      </c>
      <c r="M188" s="18" t="s">
        <v>252</v>
      </c>
      <c r="N188" s="18" t="s">
        <v>252</v>
      </c>
      <c r="O188" s="20" t="s">
        <v>365</v>
      </c>
    </row>
    <row r="189" spans="1:15" ht="27.75">
      <c r="A189" s="100">
        <v>40756</v>
      </c>
      <c r="B189" s="78" t="s">
        <v>211</v>
      </c>
      <c r="C189" s="58" t="s">
        <v>187</v>
      </c>
      <c r="D189" s="58" t="s">
        <v>182</v>
      </c>
      <c r="E189" s="59" t="s">
        <v>403</v>
      </c>
      <c r="F189" s="64" t="s">
        <v>404</v>
      </c>
      <c r="G189" s="16"/>
      <c r="H189" s="65"/>
      <c r="I189" s="21" t="s">
        <v>252</v>
      </c>
      <c r="J189" s="21"/>
      <c r="K189" s="21" t="s">
        <v>252</v>
      </c>
      <c r="L189" s="21" t="s">
        <v>252</v>
      </c>
      <c r="M189" s="21"/>
      <c r="N189" s="21"/>
      <c r="O189" s="20" t="s">
        <v>405</v>
      </c>
    </row>
    <row r="190" spans="1:15" ht="36.75">
      <c r="A190" s="96">
        <v>40756</v>
      </c>
      <c r="B190" s="24" t="s">
        <v>209</v>
      </c>
      <c r="C190" s="70" t="s">
        <v>177</v>
      </c>
      <c r="D190" s="70" t="s">
        <v>174</v>
      </c>
      <c r="E190" s="59" t="s">
        <v>587</v>
      </c>
      <c r="F190" s="62" t="s">
        <v>588</v>
      </c>
      <c r="G190" s="62"/>
      <c r="H190" s="62"/>
      <c r="I190" s="71"/>
      <c r="J190" s="71"/>
      <c r="K190" s="71"/>
      <c r="L190" s="71"/>
      <c r="M190" s="18" t="s">
        <v>252</v>
      </c>
      <c r="N190" s="18" t="s">
        <v>252</v>
      </c>
      <c r="O190" s="72" t="s">
        <v>586</v>
      </c>
    </row>
    <row r="191" spans="1:15" ht="42">
      <c r="A191" s="100">
        <v>40787</v>
      </c>
      <c r="B191" s="30" t="s">
        <v>94</v>
      </c>
      <c r="C191" s="58" t="s">
        <v>235</v>
      </c>
      <c r="D191" s="58" t="s">
        <v>178</v>
      </c>
      <c r="E191" s="59" t="s">
        <v>439</v>
      </c>
      <c r="F191" s="16" t="s">
        <v>440</v>
      </c>
      <c r="G191" s="16"/>
      <c r="H191" s="16"/>
      <c r="I191" s="18"/>
      <c r="J191" s="18"/>
      <c r="K191" s="18"/>
      <c r="L191" s="18"/>
      <c r="M191" s="18" t="s">
        <v>252</v>
      </c>
      <c r="N191" s="18"/>
      <c r="O191" s="20" t="s">
        <v>441</v>
      </c>
    </row>
    <row r="192" spans="1:15" ht="24">
      <c r="A192" s="100">
        <v>40787</v>
      </c>
      <c r="B192" s="25" t="s">
        <v>164</v>
      </c>
      <c r="C192" s="58" t="s">
        <v>177</v>
      </c>
      <c r="D192" s="58" t="s">
        <v>184</v>
      </c>
      <c r="E192" s="63" t="s">
        <v>530</v>
      </c>
      <c r="F192" s="16" t="s">
        <v>531</v>
      </c>
      <c r="G192" s="16"/>
      <c r="H192" s="16"/>
      <c r="I192" s="18" t="s">
        <v>252</v>
      </c>
      <c r="J192" s="18"/>
      <c r="K192" s="18" t="s">
        <v>252</v>
      </c>
      <c r="L192" s="18" t="s">
        <v>252</v>
      </c>
      <c r="M192" s="18" t="s">
        <v>252</v>
      </c>
      <c r="N192" s="18" t="s">
        <v>252</v>
      </c>
      <c r="O192" s="20" t="s">
        <v>532</v>
      </c>
    </row>
    <row r="193" spans="1:15" ht="42">
      <c r="A193" s="100">
        <v>40787</v>
      </c>
      <c r="B193" s="78" t="s">
        <v>211</v>
      </c>
      <c r="C193" s="58" t="s">
        <v>187</v>
      </c>
      <c r="D193" s="58" t="s">
        <v>178</v>
      </c>
      <c r="E193" s="59" t="s">
        <v>406</v>
      </c>
      <c r="F193" s="16" t="s">
        <v>407</v>
      </c>
      <c r="G193" s="16"/>
      <c r="H193" s="16"/>
      <c r="I193" s="18" t="s">
        <v>252</v>
      </c>
      <c r="J193" s="18" t="s">
        <v>252</v>
      </c>
      <c r="K193" s="18" t="s">
        <v>252</v>
      </c>
      <c r="L193" s="18" t="s">
        <v>252</v>
      </c>
      <c r="M193" s="18" t="s">
        <v>252</v>
      </c>
      <c r="N193" s="18" t="s">
        <v>252</v>
      </c>
      <c r="O193" s="20" t="s">
        <v>408</v>
      </c>
    </row>
    <row r="194" spans="1:15" ht="27.75">
      <c r="A194" s="100">
        <v>40787</v>
      </c>
      <c r="B194" s="45" t="s">
        <v>214</v>
      </c>
      <c r="C194" s="58" t="s">
        <v>205</v>
      </c>
      <c r="D194" s="58" t="s">
        <v>176</v>
      </c>
      <c r="E194" s="63" t="s">
        <v>418</v>
      </c>
      <c r="F194" s="68" t="s">
        <v>419</v>
      </c>
      <c r="G194" s="16"/>
      <c r="H194" s="16"/>
      <c r="I194" s="18" t="s">
        <v>252</v>
      </c>
      <c r="J194" s="18" t="s">
        <v>252</v>
      </c>
      <c r="K194" s="18" t="s">
        <v>252</v>
      </c>
      <c r="L194" s="18"/>
      <c r="M194" s="18"/>
      <c r="N194" s="18"/>
      <c r="O194" s="20" t="s">
        <v>420</v>
      </c>
    </row>
    <row r="195" spans="1:15" ht="36">
      <c r="A195" s="103">
        <v>40794</v>
      </c>
      <c r="B195" s="76" t="s">
        <v>163</v>
      </c>
      <c r="C195" s="58" t="s">
        <v>228</v>
      </c>
      <c r="D195" s="58" t="s">
        <v>350</v>
      </c>
      <c r="E195" s="63" t="s">
        <v>484</v>
      </c>
      <c r="F195" s="16"/>
      <c r="G195" s="16"/>
      <c r="H195" s="64" t="s">
        <v>485</v>
      </c>
      <c r="I195" s="55" t="s">
        <v>108</v>
      </c>
      <c r="J195" s="55"/>
      <c r="K195" s="55"/>
      <c r="L195" s="55"/>
      <c r="M195" s="55"/>
      <c r="N195" s="55"/>
      <c r="O195" s="20" t="s">
        <v>486</v>
      </c>
    </row>
    <row r="196" spans="1:15" ht="36">
      <c r="A196" s="104">
        <v>40817</v>
      </c>
      <c r="B196" s="26" t="s">
        <v>162</v>
      </c>
      <c r="C196" s="14" t="s">
        <v>177</v>
      </c>
      <c r="D196" s="14" t="s">
        <v>183</v>
      </c>
      <c r="E196" s="15" t="str">
        <f>HYPERLINK("http://www.fs.fed.us/r6/w-w/projects/westside-EIS/index.shtml","Westside Rangeland Analysis Project, Proposal to Allocate Forage for Commercial Livestock Grazing on Six Alternatives, Mud and Tope Creeks, Wallowa Valley Ranger District, Wallowa-Whitman National Forest, Wallowa County, OR")</f>
        <v>Westside Rangeland Analysis Project, Proposal to Allocate Forage for Commercial Livestock Grazing on Six Alternatives, Mud and Tope Creeks, Wallowa Valley Ranger District, Wallowa-Whitman National Forest, Wallowa County, OR</v>
      </c>
      <c r="F196" s="16" t="str">
        <f>HYPERLINK("http://www.fs.fed.us/r6/w-w/projects/westside-EIS/chapter-3.pdf","25-9, 116")</f>
        <v>25-9, 116</v>
      </c>
      <c r="G196" s="16"/>
      <c r="H196" s="16"/>
      <c r="I196" s="55" t="s">
        <v>252</v>
      </c>
      <c r="J196" s="55"/>
      <c r="K196" s="55"/>
      <c r="L196" s="55"/>
      <c r="M196" s="55" t="s">
        <v>108</v>
      </c>
      <c r="N196" s="55"/>
      <c r="O196" s="17" t="s">
        <v>109</v>
      </c>
    </row>
    <row r="197" spans="1:15" ht="36">
      <c r="A197" s="100">
        <v>40817</v>
      </c>
      <c r="B197" s="77" t="s">
        <v>161</v>
      </c>
      <c r="C197" s="58" t="s">
        <v>191</v>
      </c>
      <c r="D197" s="58" t="s">
        <v>174</v>
      </c>
      <c r="E197" s="59" t="s">
        <v>287</v>
      </c>
      <c r="F197" s="16" t="s">
        <v>288</v>
      </c>
      <c r="G197" s="16"/>
      <c r="H197" s="16"/>
      <c r="I197" s="18" t="s">
        <v>252</v>
      </c>
      <c r="J197" s="18" t="s">
        <v>252</v>
      </c>
      <c r="K197" s="18"/>
      <c r="L197" s="18" t="s">
        <v>252</v>
      </c>
      <c r="M197" s="18"/>
      <c r="N197" s="18"/>
      <c r="O197" s="20" t="s">
        <v>289</v>
      </c>
    </row>
    <row r="198" spans="1:15" ht="96.75">
      <c r="A198" s="96">
        <v>40817</v>
      </c>
      <c r="B198" s="77" t="s">
        <v>161</v>
      </c>
      <c r="C198" s="70" t="s">
        <v>574</v>
      </c>
      <c r="D198" s="70" t="s">
        <v>178</v>
      </c>
      <c r="E198" s="59" t="s">
        <v>573</v>
      </c>
      <c r="F198" s="73" t="s">
        <v>571</v>
      </c>
      <c r="G198" s="60" t="s">
        <v>572</v>
      </c>
      <c r="H198" s="62"/>
      <c r="I198" s="71"/>
      <c r="J198" s="71"/>
      <c r="K198" s="71"/>
      <c r="L198" s="71"/>
      <c r="M198" s="18" t="s">
        <v>252</v>
      </c>
      <c r="N198" s="18" t="s">
        <v>252</v>
      </c>
      <c r="O198" s="72" t="s">
        <v>575</v>
      </c>
    </row>
    <row r="199" spans="1:15" ht="27.75">
      <c r="A199" s="96">
        <v>40817</v>
      </c>
      <c r="B199" s="24" t="s">
        <v>209</v>
      </c>
      <c r="C199" s="58" t="s">
        <v>177</v>
      </c>
      <c r="D199" s="58" t="s">
        <v>178</v>
      </c>
      <c r="E199" s="59" t="s">
        <v>542</v>
      </c>
      <c r="F199" s="65" t="s">
        <v>543</v>
      </c>
      <c r="G199" s="16" t="s">
        <v>544</v>
      </c>
      <c r="H199" s="16"/>
      <c r="I199" s="18"/>
      <c r="J199" s="18"/>
      <c r="K199" s="18"/>
      <c r="L199" s="18"/>
      <c r="M199" s="18" t="s">
        <v>252</v>
      </c>
      <c r="N199" s="18" t="s">
        <v>252</v>
      </c>
      <c r="O199" s="20" t="s">
        <v>545</v>
      </c>
    </row>
    <row r="200" spans="1:15" ht="42">
      <c r="A200" s="96">
        <v>40857</v>
      </c>
      <c r="B200" s="76" t="s">
        <v>163</v>
      </c>
      <c r="C200" s="70" t="s">
        <v>240</v>
      </c>
      <c r="D200" s="70" t="s">
        <v>350</v>
      </c>
      <c r="E200" s="59" t="s">
        <v>596</v>
      </c>
      <c r="F200" s="62"/>
      <c r="G200" s="62" t="s">
        <v>595</v>
      </c>
      <c r="H200" s="62"/>
      <c r="I200" s="18" t="s">
        <v>252</v>
      </c>
      <c r="J200" s="71"/>
      <c r="K200" s="71"/>
      <c r="L200" s="71"/>
      <c r="M200" s="18" t="s">
        <v>252</v>
      </c>
      <c r="N200" s="18" t="s">
        <v>252</v>
      </c>
      <c r="O200" s="82" t="s">
        <v>597</v>
      </c>
    </row>
    <row r="201" spans="1:15" ht="27.75">
      <c r="A201" s="96">
        <v>40857</v>
      </c>
      <c r="B201" s="77" t="s">
        <v>161</v>
      </c>
      <c r="C201" s="70" t="s">
        <v>567</v>
      </c>
      <c r="D201" s="70" t="s">
        <v>174</v>
      </c>
      <c r="E201" s="59" t="s">
        <v>594</v>
      </c>
      <c r="F201" s="62"/>
      <c r="G201" s="62" t="s">
        <v>592</v>
      </c>
      <c r="H201" s="62"/>
      <c r="I201" s="18" t="s">
        <v>252</v>
      </c>
      <c r="J201" s="71"/>
      <c r="K201" s="18" t="s">
        <v>252</v>
      </c>
      <c r="L201" s="18" t="s">
        <v>252</v>
      </c>
      <c r="M201" s="71"/>
      <c r="N201" s="71"/>
      <c r="O201" s="82" t="s">
        <v>593</v>
      </c>
    </row>
    <row r="202" spans="1:15" ht="42">
      <c r="A202" s="96">
        <v>40865</v>
      </c>
      <c r="B202" s="26" t="s">
        <v>162</v>
      </c>
      <c r="C202" s="70" t="s">
        <v>177</v>
      </c>
      <c r="D202" s="70" t="s">
        <v>183</v>
      </c>
      <c r="E202" s="59" t="s">
        <v>600</v>
      </c>
      <c r="F202" s="62" t="s">
        <v>601</v>
      </c>
      <c r="G202" s="62"/>
      <c r="H202" s="62"/>
      <c r="I202" s="18" t="s">
        <v>252</v>
      </c>
      <c r="J202" s="71"/>
      <c r="K202" s="71"/>
      <c r="L202" s="71"/>
      <c r="M202" s="18" t="s">
        <v>252</v>
      </c>
      <c r="N202" s="71"/>
      <c r="O202" s="82" t="s">
        <v>602</v>
      </c>
    </row>
    <row r="203" spans="1:15" ht="42">
      <c r="A203" s="96">
        <v>40865</v>
      </c>
      <c r="B203" s="27" t="s">
        <v>32</v>
      </c>
      <c r="C203" s="70" t="s">
        <v>228</v>
      </c>
      <c r="D203" s="70" t="s">
        <v>227</v>
      </c>
      <c r="E203" s="59" t="s">
        <v>606</v>
      </c>
      <c r="F203" s="62" t="s">
        <v>608</v>
      </c>
      <c r="G203" s="62"/>
      <c r="H203" s="62"/>
      <c r="I203" s="18" t="s">
        <v>252</v>
      </c>
      <c r="J203" s="18" t="s">
        <v>252</v>
      </c>
      <c r="K203" s="18" t="s">
        <v>252</v>
      </c>
      <c r="L203" s="18" t="s">
        <v>252</v>
      </c>
      <c r="M203" s="18" t="s">
        <v>252</v>
      </c>
      <c r="N203" s="71"/>
      <c r="O203" s="82" t="s">
        <v>607</v>
      </c>
    </row>
    <row r="204" spans="1:15" ht="27.75">
      <c r="A204" s="96">
        <v>40865</v>
      </c>
      <c r="B204" s="25" t="s">
        <v>164</v>
      </c>
      <c r="C204" s="70" t="s">
        <v>201</v>
      </c>
      <c r="D204" s="70" t="s">
        <v>197</v>
      </c>
      <c r="E204" s="59" t="s">
        <v>604</v>
      </c>
      <c r="F204" s="62"/>
      <c r="G204" s="62" t="s">
        <v>603</v>
      </c>
      <c r="H204" s="62"/>
      <c r="I204" s="18" t="s">
        <v>252</v>
      </c>
      <c r="J204" s="71"/>
      <c r="K204" s="71"/>
      <c r="L204" s="18" t="s">
        <v>252</v>
      </c>
      <c r="M204" s="18" t="s">
        <v>252</v>
      </c>
      <c r="N204" s="71"/>
      <c r="O204" s="82" t="s">
        <v>605</v>
      </c>
    </row>
    <row r="205" spans="1:15" ht="55.5">
      <c r="A205" s="96">
        <v>40872</v>
      </c>
      <c r="B205" s="77" t="s">
        <v>161</v>
      </c>
      <c r="C205" s="70" t="s">
        <v>232</v>
      </c>
      <c r="D205" s="70" t="s">
        <v>185</v>
      </c>
      <c r="E205" s="59" t="s">
        <v>623</v>
      </c>
      <c r="F205" s="62"/>
      <c r="G205" s="62" t="s">
        <v>624</v>
      </c>
      <c r="H205" s="62"/>
      <c r="I205" s="18" t="s">
        <v>252</v>
      </c>
      <c r="J205" s="71"/>
      <c r="K205" s="71"/>
      <c r="L205" s="71"/>
      <c r="M205" s="71"/>
      <c r="N205" s="71"/>
      <c r="O205" s="82" t="s">
        <v>625</v>
      </c>
    </row>
    <row r="206" spans="1:15" ht="27.75">
      <c r="A206" s="96">
        <v>40872</v>
      </c>
      <c r="B206" s="24" t="s">
        <v>209</v>
      </c>
      <c r="C206" s="70" t="s">
        <v>191</v>
      </c>
      <c r="D206" s="70" t="s">
        <v>183</v>
      </c>
      <c r="E206" s="59" t="s">
        <v>626</v>
      </c>
      <c r="F206" s="62"/>
      <c r="G206" s="62" t="s">
        <v>627</v>
      </c>
      <c r="H206" s="62"/>
      <c r="I206" s="18" t="s">
        <v>252</v>
      </c>
      <c r="J206" s="71"/>
      <c r="K206" s="18" t="s">
        <v>252</v>
      </c>
      <c r="L206" s="71"/>
      <c r="M206" s="71"/>
      <c r="N206" s="71"/>
      <c r="O206" s="82" t="s">
        <v>628</v>
      </c>
    </row>
    <row r="207" spans="1:15" ht="42">
      <c r="A207" s="96">
        <v>40872</v>
      </c>
      <c r="B207" s="24" t="s">
        <v>209</v>
      </c>
      <c r="C207" s="70" t="s">
        <v>177</v>
      </c>
      <c r="D207" s="70" t="s">
        <v>182</v>
      </c>
      <c r="E207" s="59" t="s">
        <v>614</v>
      </c>
      <c r="F207" s="62" t="s">
        <v>615</v>
      </c>
      <c r="G207" s="62"/>
      <c r="H207" s="62"/>
      <c r="I207" s="71"/>
      <c r="J207" s="71"/>
      <c r="K207" s="18" t="s">
        <v>252</v>
      </c>
      <c r="L207" s="71"/>
      <c r="M207" s="71"/>
      <c r="N207" s="71"/>
      <c r="O207" s="82" t="s">
        <v>616</v>
      </c>
    </row>
    <row r="208" spans="1:15" ht="84">
      <c r="A208" s="96">
        <v>40872</v>
      </c>
      <c r="B208" s="78" t="s">
        <v>211</v>
      </c>
      <c r="C208" s="70" t="s">
        <v>198</v>
      </c>
      <c r="D208" s="70" t="s">
        <v>178</v>
      </c>
      <c r="E208" s="59" t="s">
        <v>617</v>
      </c>
      <c r="F208" s="62"/>
      <c r="G208" s="62" t="s">
        <v>618</v>
      </c>
      <c r="H208" s="62"/>
      <c r="I208" s="18" t="s">
        <v>252</v>
      </c>
      <c r="J208" s="71"/>
      <c r="K208" s="18" t="s">
        <v>252</v>
      </c>
      <c r="L208" s="71"/>
      <c r="M208" s="71"/>
      <c r="N208" s="71"/>
      <c r="O208" s="82" t="s">
        <v>619</v>
      </c>
    </row>
    <row r="209" spans="1:15" ht="52.5" customHeight="1">
      <c r="A209" s="96">
        <v>40872</v>
      </c>
      <c r="B209" s="45" t="s">
        <v>214</v>
      </c>
      <c r="C209" s="70" t="s">
        <v>204</v>
      </c>
      <c r="D209" s="70" t="s">
        <v>217</v>
      </c>
      <c r="E209" s="59" t="s">
        <v>620</v>
      </c>
      <c r="F209" s="60" t="s">
        <v>621</v>
      </c>
      <c r="G209" s="62"/>
      <c r="H209" s="62"/>
      <c r="I209" s="18" t="s">
        <v>252</v>
      </c>
      <c r="J209" s="71"/>
      <c r="K209" s="71"/>
      <c r="L209" s="71"/>
      <c r="M209" s="71"/>
      <c r="N209" s="71"/>
      <c r="O209" s="82" t="s">
        <v>622</v>
      </c>
    </row>
    <row r="210" spans="1:15" ht="27.75">
      <c r="A210" s="96">
        <v>40872</v>
      </c>
      <c r="B210" s="30" t="s">
        <v>94</v>
      </c>
      <c r="C210" s="70" t="s">
        <v>235</v>
      </c>
      <c r="D210" s="70" t="s">
        <v>178</v>
      </c>
      <c r="E210" s="59" t="s">
        <v>611</v>
      </c>
      <c r="F210" s="62" t="s">
        <v>612</v>
      </c>
      <c r="G210" s="62"/>
      <c r="H210" s="62"/>
      <c r="I210" s="18" t="s">
        <v>252</v>
      </c>
      <c r="J210" s="71"/>
      <c r="K210" s="71"/>
      <c r="L210" s="71"/>
      <c r="M210" s="18" t="s">
        <v>252</v>
      </c>
      <c r="N210" s="71"/>
      <c r="O210" s="82" t="s">
        <v>613</v>
      </c>
    </row>
    <row r="211" spans="1:15" ht="27.75">
      <c r="A211" s="96">
        <v>40879</v>
      </c>
      <c r="B211" s="42" t="s">
        <v>207</v>
      </c>
      <c r="C211" s="70" t="s">
        <v>552</v>
      </c>
      <c r="D211" s="70" t="s">
        <v>176</v>
      </c>
      <c r="E211" s="59" t="s">
        <v>629</v>
      </c>
      <c r="F211" s="62"/>
      <c r="G211" s="62" t="s">
        <v>630</v>
      </c>
      <c r="H211" s="60" t="s">
        <v>632</v>
      </c>
      <c r="I211" s="18" t="s">
        <v>252</v>
      </c>
      <c r="J211" s="71"/>
      <c r="K211" s="71"/>
      <c r="L211" s="18" t="s">
        <v>252</v>
      </c>
      <c r="M211" s="71"/>
      <c r="N211" s="71"/>
      <c r="O211" s="82" t="s">
        <v>631</v>
      </c>
    </row>
    <row r="212" spans="1:15" ht="42">
      <c r="A212" s="96">
        <v>40886</v>
      </c>
      <c r="B212" s="34" t="s">
        <v>212</v>
      </c>
      <c r="C212" s="82" t="s">
        <v>219</v>
      </c>
      <c r="D212" s="82" t="s">
        <v>176</v>
      </c>
      <c r="E212" s="59" t="s">
        <v>636</v>
      </c>
      <c r="F212" s="62"/>
      <c r="G212" s="62" t="s">
        <v>637</v>
      </c>
      <c r="H212" s="62"/>
      <c r="I212" s="18" t="s">
        <v>252</v>
      </c>
      <c r="J212" s="84"/>
      <c r="K212" s="84"/>
      <c r="L212" s="84"/>
      <c r="M212" s="84"/>
      <c r="N212" s="84"/>
      <c r="O212" s="82" t="s">
        <v>638</v>
      </c>
    </row>
    <row r="213" spans="1:15" ht="27.75">
      <c r="A213" s="96">
        <v>40886</v>
      </c>
      <c r="B213" s="24" t="s">
        <v>209</v>
      </c>
      <c r="C213" s="70" t="s">
        <v>191</v>
      </c>
      <c r="D213" s="70" t="s">
        <v>202</v>
      </c>
      <c r="E213" s="59" t="s">
        <v>633</v>
      </c>
      <c r="F213" s="62" t="s">
        <v>634</v>
      </c>
      <c r="G213" s="62"/>
      <c r="H213" s="62"/>
      <c r="I213" s="71"/>
      <c r="J213" s="71"/>
      <c r="K213" s="71"/>
      <c r="L213" s="71"/>
      <c r="M213" s="18" t="s">
        <v>252</v>
      </c>
      <c r="N213" s="18" t="s">
        <v>252</v>
      </c>
      <c r="O213" s="82" t="s">
        <v>635</v>
      </c>
    </row>
    <row r="214" spans="1:15" ht="27.75">
      <c r="A214" s="96">
        <v>40886</v>
      </c>
      <c r="B214" s="35" t="s">
        <v>208</v>
      </c>
      <c r="C214" s="82" t="s">
        <v>193</v>
      </c>
      <c r="D214" s="82" t="s">
        <v>182</v>
      </c>
      <c r="E214" s="59" t="s">
        <v>643</v>
      </c>
      <c r="F214" s="62" t="s">
        <v>642</v>
      </c>
      <c r="G214" s="62"/>
      <c r="H214" s="62"/>
      <c r="I214" s="84"/>
      <c r="J214" s="84"/>
      <c r="K214" s="84"/>
      <c r="L214" s="84"/>
      <c r="M214" s="18" t="s">
        <v>252</v>
      </c>
      <c r="N214" s="18" t="s">
        <v>252</v>
      </c>
      <c r="O214" s="82" t="s">
        <v>644</v>
      </c>
    </row>
    <row r="215" spans="1:15" ht="27.75">
      <c r="A215" s="96">
        <v>40886</v>
      </c>
      <c r="B215" s="77" t="s">
        <v>161</v>
      </c>
      <c r="C215" s="82" t="s">
        <v>650</v>
      </c>
      <c r="D215" s="82" t="s">
        <v>452</v>
      </c>
      <c r="E215" s="59" t="s">
        <v>649</v>
      </c>
      <c r="F215" s="62" t="s">
        <v>648</v>
      </c>
      <c r="G215" s="62"/>
      <c r="H215" s="62"/>
      <c r="I215" s="18" t="s">
        <v>252</v>
      </c>
      <c r="J215" s="84"/>
      <c r="K215" s="18" t="s">
        <v>252</v>
      </c>
      <c r="L215" s="84"/>
      <c r="M215" s="84"/>
      <c r="N215" s="84"/>
      <c r="O215" s="82" t="s">
        <v>651</v>
      </c>
    </row>
    <row r="216" spans="1:15" ht="27.75">
      <c r="A216" s="96">
        <v>40886</v>
      </c>
      <c r="B216" s="24" t="s">
        <v>209</v>
      </c>
      <c r="C216" s="82" t="s">
        <v>177</v>
      </c>
      <c r="D216" s="82" t="s">
        <v>176</v>
      </c>
      <c r="E216" s="59" t="s">
        <v>641</v>
      </c>
      <c r="F216" s="62" t="s">
        <v>640</v>
      </c>
      <c r="G216" s="62"/>
      <c r="H216" s="62"/>
      <c r="I216" s="84"/>
      <c r="J216" s="84"/>
      <c r="K216" s="84"/>
      <c r="L216" s="84"/>
      <c r="M216" s="18" t="s">
        <v>252</v>
      </c>
      <c r="N216" s="18" t="s">
        <v>252</v>
      </c>
      <c r="O216" s="82" t="s">
        <v>639</v>
      </c>
    </row>
    <row r="217" spans="1:15" ht="55.5">
      <c r="A217" s="96">
        <v>40893</v>
      </c>
      <c r="B217" s="26" t="s">
        <v>582</v>
      </c>
      <c r="C217" s="82" t="s">
        <v>225</v>
      </c>
      <c r="D217" s="82" t="s">
        <v>186</v>
      </c>
      <c r="E217" s="59" t="s">
        <v>655</v>
      </c>
      <c r="F217" s="62" t="s">
        <v>652</v>
      </c>
      <c r="G217" s="62"/>
      <c r="H217" s="62"/>
      <c r="I217" s="18" t="s">
        <v>252</v>
      </c>
      <c r="J217" s="84"/>
      <c r="K217" s="18" t="s">
        <v>252</v>
      </c>
      <c r="L217" s="84"/>
      <c r="M217" s="18" t="s">
        <v>252</v>
      </c>
      <c r="N217" s="18" t="s">
        <v>252</v>
      </c>
      <c r="O217" s="82" t="s">
        <v>653</v>
      </c>
    </row>
    <row r="218" spans="1:15" ht="27.75">
      <c r="A218" s="96">
        <v>40900</v>
      </c>
      <c r="B218" s="27" t="s">
        <v>32</v>
      </c>
      <c r="C218" s="82" t="s">
        <v>235</v>
      </c>
      <c r="D218" s="82" t="s">
        <v>662</v>
      </c>
      <c r="E218" s="59" t="s">
        <v>661</v>
      </c>
      <c r="F218" s="62" t="s">
        <v>660</v>
      </c>
      <c r="G218" s="62"/>
      <c r="H218" s="62"/>
      <c r="I218" s="84"/>
      <c r="J218" s="84"/>
      <c r="K218" s="84"/>
      <c r="L218" s="84"/>
      <c r="M218" s="18" t="s">
        <v>252</v>
      </c>
      <c r="N218" s="18" t="s">
        <v>252</v>
      </c>
      <c r="O218" s="82" t="s">
        <v>663</v>
      </c>
    </row>
    <row r="219" spans="1:15" ht="42">
      <c r="A219" s="96">
        <v>40900</v>
      </c>
      <c r="B219" s="76" t="s">
        <v>163</v>
      </c>
      <c r="C219" s="82" t="s">
        <v>240</v>
      </c>
      <c r="D219" s="82" t="s">
        <v>471</v>
      </c>
      <c r="E219" s="59" t="s">
        <v>659</v>
      </c>
      <c r="F219" s="62" t="s">
        <v>680</v>
      </c>
      <c r="G219" s="62" t="s">
        <v>681</v>
      </c>
      <c r="H219" s="62"/>
      <c r="I219" s="18" t="s">
        <v>252</v>
      </c>
      <c r="J219" s="84"/>
      <c r="K219" s="18" t="s">
        <v>252</v>
      </c>
      <c r="L219" s="18" t="s">
        <v>252</v>
      </c>
      <c r="M219" s="18" t="s">
        <v>252</v>
      </c>
      <c r="N219" s="18" t="s">
        <v>252</v>
      </c>
      <c r="O219" s="82" t="s">
        <v>658</v>
      </c>
    </row>
    <row r="220" spans="1:15" ht="27.75">
      <c r="A220" s="96">
        <v>40900</v>
      </c>
      <c r="B220" s="57" t="s">
        <v>583</v>
      </c>
      <c r="C220" s="82" t="s">
        <v>191</v>
      </c>
      <c r="D220" s="82" t="s">
        <v>184</v>
      </c>
      <c r="E220" s="59" t="s">
        <v>670</v>
      </c>
      <c r="F220" s="62" t="s">
        <v>668</v>
      </c>
      <c r="G220" s="62"/>
      <c r="H220" s="62"/>
      <c r="I220" s="18" t="s">
        <v>252</v>
      </c>
      <c r="J220" s="84"/>
      <c r="K220" s="18" t="s">
        <v>252</v>
      </c>
      <c r="L220" s="84"/>
      <c r="M220" s="84"/>
      <c r="N220" s="84"/>
      <c r="O220" s="82" t="s">
        <v>669</v>
      </c>
    </row>
    <row r="221" spans="1:15" ht="27.75">
      <c r="A221" s="96">
        <v>40900</v>
      </c>
      <c r="B221" s="78" t="s">
        <v>211</v>
      </c>
      <c r="C221" s="82" t="s">
        <v>187</v>
      </c>
      <c r="D221" s="82" t="s">
        <v>664</v>
      </c>
      <c r="E221" s="81" t="s">
        <v>666</v>
      </c>
      <c r="F221" s="62" t="s">
        <v>665</v>
      </c>
      <c r="G221" s="62"/>
      <c r="H221" s="62"/>
      <c r="I221" s="18" t="s">
        <v>252</v>
      </c>
      <c r="J221" s="18" t="s">
        <v>252</v>
      </c>
      <c r="K221" s="111" t="s">
        <v>252</v>
      </c>
      <c r="L221" s="18" t="s">
        <v>252</v>
      </c>
      <c r="M221" s="84"/>
      <c r="N221" s="84"/>
      <c r="O221" s="82" t="s">
        <v>667</v>
      </c>
    </row>
    <row r="222" spans="1:15" ht="42">
      <c r="A222" s="107">
        <v>40914</v>
      </c>
      <c r="B222" s="77" t="s">
        <v>161</v>
      </c>
      <c r="C222" s="82" t="s">
        <v>177</v>
      </c>
      <c r="D222" s="82" t="s">
        <v>386</v>
      </c>
      <c r="E222" s="59" t="s">
        <v>678</v>
      </c>
      <c r="F222" s="62" t="s">
        <v>677</v>
      </c>
      <c r="G222" s="62"/>
      <c r="H222" s="62"/>
      <c r="I222" s="18" t="s">
        <v>252</v>
      </c>
      <c r="J222" s="18" t="s">
        <v>252</v>
      </c>
      <c r="K222" s="84"/>
      <c r="L222" s="18" t="s">
        <v>252</v>
      </c>
      <c r="M222" s="84"/>
      <c r="N222" s="84"/>
      <c r="O222" s="82" t="s">
        <v>679</v>
      </c>
    </row>
    <row r="223" spans="1:15" ht="42">
      <c r="A223" s="96">
        <v>40956</v>
      </c>
      <c r="B223" s="30" t="s">
        <v>94</v>
      </c>
      <c r="C223" s="82" t="s">
        <v>235</v>
      </c>
      <c r="D223" s="82" t="s">
        <v>178</v>
      </c>
      <c r="E223" s="59" t="s">
        <v>646</v>
      </c>
      <c r="F223" s="62" t="s">
        <v>645</v>
      </c>
      <c r="G223" s="62"/>
      <c r="H223" s="62"/>
      <c r="I223" s="18" t="s">
        <v>252</v>
      </c>
      <c r="J223" s="84"/>
      <c r="K223" s="84"/>
      <c r="L223" s="84"/>
      <c r="M223" s="18" t="s">
        <v>252</v>
      </c>
      <c r="N223" s="84"/>
      <c r="O223" s="82" t="s">
        <v>647</v>
      </c>
    </row>
    <row r="224" spans="1:15" ht="42">
      <c r="A224" s="96">
        <v>40970</v>
      </c>
      <c r="B224" s="35" t="s">
        <v>208</v>
      </c>
      <c r="C224" s="70" t="s">
        <v>193</v>
      </c>
      <c r="D224" s="70" t="s">
        <v>186</v>
      </c>
      <c r="E224" s="59" t="s">
        <v>609</v>
      </c>
      <c r="F224" s="62" t="s">
        <v>682</v>
      </c>
      <c r="G224" s="62"/>
      <c r="H224" s="62"/>
      <c r="I224" s="71"/>
      <c r="J224" s="71"/>
      <c r="K224" s="71"/>
      <c r="L224" s="71"/>
      <c r="M224" s="18" t="s">
        <v>252</v>
      </c>
      <c r="N224" s="18" t="s">
        <v>252</v>
      </c>
      <c r="O224" s="82" t="s">
        <v>610</v>
      </c>
    </row>
    <row r="225" spans="1:15" ht="27.75">
      <c r="A225" s="96">
        <v>41026</v>
      </c>
      <c r="B225" s="24" t="s">
        <v>209</v>
      </c>
      <c r="C225" s="82" t="s">
        <v>177</v>
      </c>
      <c r="D225" s="82" t="s">
        <v>176</v>
      </c>
      <c r="E225" s="66" t="s">
        <v>654</v>
      </c>
      <c r="F225" s="62" t="s">
        <v>656</v>
      </c>
      <c r="G225" s="62"/>
      <c r="H225" s="62"/>
      <c r="I225" s="18" t="s">
        <v>252</v>
      </c>
      <c r="J225" s="84"/>
      <c r="K225" s="71"/>
      <c r="L225" s="84"/>
      <c r="M225" s="18" t="s">
        <v>252</v>
      </c>
      <c r="N225" s="71"/>
      <c r="O225" s="82" t="s">
        <v>657</v>
      </c>
    </row>
    <row r="226" spans="1:15" ht="42">
      <c r="A226" s="96">
        <v>41068</v>
      </c>
      <c r="B226" s="110" t="s">
        <v>207</v>
      </c>
      <c r="C226" s="70" t="s">
        <v>552</v>
      </c>
      <c r="D226" s="70" t="s">
        <v>242</v>
      </c>
      <c r="E226" s="59" t="s">
        <v>589</v>
      </c>
      <c r="F226" s="60" t="s">
        <v>590</v>
      </c>
      <c r="G226" s="62"/>
      <c r="H226" s="62"/>
      <c r="I226" s="18" t="s">
        <v>252</v>
      </c>
      <c r="J226" s="71"/>
      <c r="K226" s="18" t="s">
        <v>252</v>
      </c>
      <c r="L226" s="71"/>
      <c r="M226" s="71"/>
      <c r="N226" s="71"/>
      <c r="O226" s="70" t="s">
        <v>591</v>
      </c>
    </row>
    <row r="227" spans="1:15" ht="42">
      <c r="A227" s="96">
        <v>41075</v>
      </c>
      <c r="B227" s="34" t="s">
        <v>212</v>
      </c>
      <c r="C227" s="82" t="s">
        <v>199</v>
      </c>
      <c r="D227" s="82" t="s">
        <v>176</v>
      </c>
      <c r="E227" s="59" t="s">
        <v>672</v>
      </c>
      <c r="F227" s="109" t="s">
        <v>685</v>
      </c>
      <c r="G227" s="60" t="s">
        <v>673</v>
      </c>
      <c r="H227" s="60" t="s">
        <v>671</v>
      </c>
      <c r="I227" s="18" t="s">
        <v>252</v>
      </c>
      <c r="J227" s="18" t="s">
        <v>252</v>
      </c>
      <c r="K227" s="18" t="s">
        <v>252</v>
      </c>
      <c r="L227" s="18" t="s">
        <v>252</v>
      </c>
      <c r="M227" s="84"/>
      <c r="N227" s="84"/>
      <c r="O227" s="82" t="s">
        <v>674</v>
      </c>
    </row>
    <row r="228" spans="1:15" ht="42">
      <c r="A228" s="96">
        <v>41096</v>
      </c>
      <c r="B228" s="25" t="s">
        <v>164</v>
      </c>
      <c r="C228" s="70" t="s">
        <v>315</v>
      </c>
      <c r="D228" s="70" t="s">
        <v>178</v>
      </c>
      <c r="E228" s="59" t="s">
        <v>598</v>
      </c>
      <c r="F228" s="62" t="s">
        <v>684</v>
      </c>
      <c r="G228" s="62"/>
      <c r="H228" s="62"/>
      <c r="I228" s="18" t="s">
        <v>252</v>
      </c>
      <c r="J228" s="71"/>
      <c r="K228" s="71"/>
      <c r="L228" s="71"/>
      <c r="M228" s="18" t="s">
        <v>252</v>
      </c>
      <c r="N228" s="71"/>
      <c r="O228" s="82" t="s">
        <v>599</v>
      </c>
    </row>
    <row r="229" spans="1:15" ht="42">
      <c r="A229" s="96">
        <v>41096</v>
      </c>
      <c r="B229" s="25" t="s">
        <v>164</v>
      </c>
      <c r="C229" s="82" t="s">
        <v>315</v>
      </c>
      <c r="D229" s="82" t="s">
        <v>178</v>
      </c>
      <c r="E229" s="59" t="s">
        <v>675</v>
      </c>
      <c r="F229" s="62" t="s">
        <v>683</v>
      </c>
      <c r="G229" s="62"/>
      <c r="H229" s="62"/>
      <c r="I229" s="18" t="s">
        <v>252</v>
      </c>
      <c r="J229" s="84"/>
      <c r="K229" s="18" t="s">
        <v>252</v>
      </c>
      <c r="L229" s="84"/>
      <c r="M229" s="18" t="s">
        <v>252</v>
      </c>
      <c r="N229" s="84"/>
      <c r="O229" s="82" t="s">
        <v>676</v>
      </c>
    </row>
    <row r="230" spans="2:15" ht="13.5">
      <c r="B230" s="83"/>
      <c r="C230" s="82"/>
      <c r="D230" s="82"/>
      <c r="E230" s="59"/>
      <c r="F230" s="62"/>
      <c r="G230" s="62"/>
      <c r="H230" s="62"/>
      <c r="I230" s="84"/>
      <c r="J230" s="84"/>
      <c r="K230" s="84"/>
      <c r="L230" s="84"/>
      <c r="M230" s="84"/>
      <c r="N230" s="84"/>
      <c r="O230" s="82"/>
    </row>
    <row r="231" spans="2:15" ht="13.5">
      <c r="B231" s="83"/>
      <c r="C231" s="82"/>
      <c r="D231" s="82"/>
      <c r="E231" s="80"/>
      <c r="F231" s="62"/>
      <c r="G231" s="62"/>
      <c r="H231" s="62"/>
      <c r="I231" s="84"/>
      <c r="J231" s="84"/>
      <c r="K231" s="84"/>
      <c r="L231" s="84"/>
      <c r="M231" s="84"/>
      <c r="N231" s="84"/>
      <c r="O231" s="82"/>
    </row>
    <row r="232" spans="2:15" ht="13.5">
      <c r="B232" s="83"/>
      <c r="C232" s="82"/>
      <c r="D232" s="82"/>
      <c r="E232" s="80"/>
      <c r="F232" s="62"/>
      <c r="G232" s="62"/>
      <c r="H232" s="62"/>
      <c r="I232" s="84"/>
      <c r="J232" s="84"/>
      <c r="K232" s="84"/>
      <c r="L232" s="84"/>
      <c r="M232" s="84"/>
      <c r="N232" s="84"/>
      <c r="O232" s="82"/>
    </row>
    <row r="233" spans="2:15" ht="13.5">
      <c r="B233" s="83"/>
      <c r="C233" s="82"/>
      <c r="D233" s="82"/>
      <c r="E233" s="80"/>
      <c r="F233" s="62"/>
      <c r="G233" s="62"/>
      <c r="H233" s="62"/>
      <c r="I233" s="84"/>
      <c r="J233" s="84"/>
      <c r="K233" s="84"/>
      <c r="L233" s="84"/>
      <c r="M233" s="84"/>
      <c r="N233" s="84"/>
      <c r="O233" s="82"/>
    </row>
    <row r="234" spans="2:15" ht="13.5">
      <c r="B234" s="83"/>
      <c r="C234" s="82"/>
      <c r="D234" s="82"/>
      <c r="E234" s="80"/>
      <c r="F234" s="62"/>
      <c r="G234" s="62"/>
      <c r="H234" s="62"/>
      <c r="I234" s="84"/>
      <c r="J234" s="84"/>
      <c r="K234" s="84"/>
      <c r="L234" s="84"/>
      <c r="M234" s="84"/>
      <c r="N234" s="84"/>
      <c r="O234" s="82"/>
    </row>
    <row r="235" spans="2:15" ht="13.5">
      <c r="B235" s="83"/>
      <c r="C235" s="82"/>
      <c r="D235" s="82"/>
      <c r="E235" s="80"/>
      <c r="F235" s="62"/>
      <c r="G235" s="62"/>
      <c r="H235" s="62"/>
      <c r="I235" s="84"/>
      <c r="J235" s="84"/>
      <c r="K235" s="84"/>
      <c r="L235" s="84"/>
      <c r="M235" s="84"/>
      <c r="N235" s="84"/>
      <c r="O235" s="82"/>
    </row>
    <row r="236" spans="2:15" ht="13.5">
      <c r="B236" s="83"/>
      <c r="C236" s="82"/>
      <c r="D236" s="82"/>
      <c r="E236" s="80"/>
      <c r="F236" s="62"/>
      <c r="G236" s="62"/>
      <c r="H236" s="62"/>
      <c r="I236" s="84"/>
      <c r="J236" s="84"/>
      <c r="K236" s="84"/>
      <c r="L236" s="84"/>
      <c r="M236" s="84"/>
      <c r="N236" s="84"/>
      <c r="O236" s="82"/>
    </row>
    <row r="237" spans="2:15" ht="13.5">
      <c r="B237" s="83"/>
      <c r="C237" s="82"/>
      <c r="D237" s="82"/>
      <c r="E237" s="80"/>
      <c r="F237" s="62"/>
      <c r="G237" s="62"/>
      <c r="H237" s="62"/>
      <c r="I237" s="84"/>
      <c r="J237" s="84"/>
      <c r="K237" s="84"/>
      <c r="L237" s="84"/>
      <c r="M237" s="84"/>
      <c r="N237" s="84"/>
      <c r="O237" s="82"/>
    </row>
    <row r="238" spans="2:15" ht="13.5">
      <c r="B238" s="83"/>
      <c r="C238" s="82"/>
      <c r="D238" s="82"/>
      <c r="E238" s="80"/>
      <c r="F238" s="62"/>
      <c r="G238" s="62"/>
      <c r="H238" s="62"/>
      <c r="I238" s="84"/>
      <c r="J238" s="84"/>
      <c r="K238" s="84"/>
      <c r="L238" s="84"/>
      <c r="M238" s="84"/>
      <c r="N238" s="84"/>
      <c r="O238" s="82"/>
    </row>
    <row r="239" spans="2:15" ht="13.5">
      <c r="B239" s="83"/>
      <c r="C239" s="82"/>
      <c r="D239" s="82"/>
      <c r="E239" s="80"/>
      <c r="F239" s="62"/>
      <c r="G239" s="62"/>
      <c r="H239" s="62"/>
      <c r="I239" s="84"/>
      <c r="J239" s="84"/>
      <c r="K239" s="84"/>
      <c r="L239" s="84"/>
      <c r="M239" s="84"/>
      <c r="N239" s="84"/>
      <c r="O239" s="82"/>
    </row>
    <row r="240" spans="2:15" ht="13.5">
      <c r="B240" s="83"/>
      <c r="C240" s="82"/>
      <c r="D240" s="82"/>
      <c r="E240" s="80"/>
      <c r="F240" s="62"/>
      <c r="G240" s="62"/>
      <c r="H240" s="62"/>
      <c r="I240" s="84"/>
      <c r="J240" s="84"/>
      <c r="K240" s="84"/>
      <c r="L240" s="84"/>
      <c r="M240" s="84"/>
      <c r="N240" s="84"/>
      <c r="O240" s="82"/>
    </row>
    <row r="241" spans="2:15" ht="13.5">
      <c r="B241" s="83"/>
      <c r="C241" s="82"/>
      <c r="D241" s="82"/>
      <c r="E241" s="80"/>
      <c r="F241" s="62"/>
      <c r="G241" s="62"/>
      <c r="H241" s="62"/>
      <c r="I241" s="84"/>
      <c r="J241" s="84"/>
      <c r="K241" s="84"/>
      <c r="L241" s="84"/>
      <c r="M241" s="84"/>
      <c r="N241" s="84"/>
      <c r="O241" s="82"/>
    </row>
    <row r="242" spans="2:15" ht="13.5">
      <c r="B242" s="83"/>
      <c r="C242" s="82"/>
      <c r="D242" s="82"/>
      <c r="E242" s="80"/>
      <c r="F242" s="62"/>
      <c r="G242" s="62"/>
      <c r="H242" s="62"/>
      <c r="I242" s="84"/>
      <c r="J242" s="84"/>
      <c r="K242" s="84"/>
      <c r="L242" s="84"/>
      <c r="M242" s="84"/>
      <c r="N242" s="84"/>
      <c r="O242" s="82"/>
    </row>
    <row r="243" spans="2:15" ht="13.5">
      <c r="B243" s="83"/>
      <c r="C243" s="82"/>
      <c r="D243" s="82"/>
      <c r="E243" s="80"/>
      <c r="F243" s="62"/>
      <c r="G243" s="62"/>
      <c r="H243" s="62"/>
      <c r="I243" s="84"/>
      <c r="J243" s="84"/>
      <c r="K243" s="84"/>
      <c r="L243" s="84"/>
      <c r="M243" s="84"/>
      <c r="N243" s="84"/>
      <c r="O243" s="82"/>
    </row>
    <row r="244" spans="2:15" ht="13.5">
      <c r="B244" s="83"/>
      <c r="C244" s="82"/>
      <c r="D244" s="82"/>
      <c r="E244" s="80"/>
      <c r="F244" s="62"/>
      <c r="G244" s="62"/>
      <c r="H244" s="62"/>
      <c r="I244" s="84"/>
      <c r="J244" s="84"/>
      <c r="K244" s="84"/>
      <c r="L244" s="84"/>
      <c r="M244" s="84"/>
      <c r="N244" s="84"/>
      <c r="O244" s="82"/>
    </row>
    <row r="245" spans="2:15" ht="13.5">
      <c r="B245" s="83"/>
      <c r="C245" s="82"/>
      <c r="D245" s="82"/>
      <c r="E245" s="80"/>
      <c r="F245" s="62"/>
      <c r="G245" s="62"/>
      <c r="H245" s="62"/>
      <c r="I245" s="84"/>
      <c r="J245" s="84"/>
      <c r="K245" s="84"/>
      <c r="L245" s="84"/>
      <c r="M245" s="84"/>
      <c r="N245" s="84"/>
      <c r="O245" s="82"/>
    </row>
    <row r="246" spans="2:15" ht="13.5">
      <c r="B246" s="83"/>
      <c r="C246" s="82"/>
      <c r="D246" s="82"/>
      <c r="E246" s="80"/>
      <c r="F246" s="62"/>
      <c r="G246" s="62"/>
      <c r="H246" s="62"/>
      <c r="I246" s="84"/>
      <c r="J246" s="84"/>
      <c r="K246" s="84"/>
      <c r="L246" s="84"/>
      <c r="M246" s="84"/>
      <c r="N246" s="84"/>
      <c r="O246" s="82"/>
    </row>
    <row r="247" spans="2:15" ht="13.5">
      <c r="B247" s="83"/>
      <c r="C247" s="82"/>
      <c r="D247" s="82"/>
      <c r="E247" s="80"/>
      <c r="F247" s="62"/>
      <c r="G247" s="62"/>
      <c r="H247" s="62"/>
      <c r="I247" s="84"/>
      <c r="J247" s="84"/>
      <c r="K247" s="84"/>
      <c r="L247" s="84"/>
      <c r="M247" s="84"/>
      <c r="N247" s="84"/>
      <c r="O247" s="82"/>
    </row>
    <row r="248" spans="2:15" ht="13.5">
      <c r="B248" s="83"/>
      <c r="C248" s="82"/>
      <c r="D248" s="82"/>
      <c r="E248" s="80"/>
      <c r="F248" s="62"/>
      <c r="G248" s="62"/>
      <c r="H248" s="62"/>
      <c r="I248" s="84"/>
      <c r="J248" s="84"/>
      <c r="K248" s="84"/>
      <c r="L248" s="84"/>
      <c r="M248" s="84"/>
      <c r="N248" s="84"/>
      <c r="O248" s="82"/>
    </row>
    <row r="249" spans="2:15" ht="13.5">
      <c r="B249" s="83"/>
      <c r="C249" s="82"/>
      <c r="D249" s="82"/>
      <c r="E249" s="80"/>
      <c r="F249" s="62"/>
      <c r="G249" s="62"/>
      <c r="H249" s="62"/>
      <c r="I249" s="84"/>
      <c r="J249" s="84"/>
      <c r="K249" s="84"/>
      <c r="L249" s="84"/>
      <c r="M249" s="84"/>
      <c r="N249" s="84"/>
      <c r="O249" s="82"/>
    </row>
    <row r="250" spans="2:15" ht="13.5">
      <c r="B250" s="83"/>
      <c r="C250" s="82"/>
      <c r="D250" s="82"/>
      <c r="E250" s="80"/>
      <c r="F250" s="62"/>
      <c r="G250" s="62"/>
      <c r="H250" s="62"/>
      <c r="I250" s="84"/>
      <c r="J250" s="84"/>
      <c r="K250" s="84"/>
      <c r="L250" s="84"/>
      <c r="M250" s="84"/>
      <c r="N250" s="84"/>
      <c r="O250" s="82"/>
    </row>
  </sheetData>
  <sheetProtection/>
  <mergeCells count="1">
    <mergeCell ref="I1:N1"/>
  </mergeCells>
  <hyperlinks>
    <hyperlink ref="E118" r:id="rId1" display="San Pedro Waterfront Project, Proposed Specific Development Project and Associated Infrastructure Improvements on Approximately 400 Acres, Currently Operated by Los Angeles Harbor Department (LAHD), Located along the West Side of Los Angeles Harbor's Main"/>
    <hyperlink ref="E36" r:id="rId2" display="Big Stone II Power Plant and Transmission Project, Addresses the Impacts of Changes to the Proposed Action relative to Cooling Alternatives and the Use of Groundwater as Backup Water Source, US Army COE Section 10 and 404 Permits, Grant County, SD and Big"/>
    <hyperlink ref="E17" r:id="rId3" display="Amendment 18 to the Fishery Management Plan, Pelagic Fisheries of the Western Pacific Region, Management Modifications for the Hawaii-based Shallow-set Longline Swordfish Fishery, Proposal to Remove Effort Limits, Eliminate the Set Certificate Program and"/>
    <hyperlink ref="E77" r:id="rId4" display="EXF Thinning, Fuel Reduction, and Research Project, Proposal for Vegetation Management and Fuel Reduction within the Lookout Mountain Unit of the Pringle Falls Experimental Forest, Bend/Ft. Rock Ranger District, Deschutes National Forest, Deschutes County"/>
    <hyperlink ref="E68" r:id="rId5" display="Eddy Gulch Late-Successional Reserve Fuels/Habitat Protection Project, To Protect Late-Successional Habitat used by the Northern Spotted Owl and Other Late-Successional-Dependent Species, Salmon River and Scott River Ranger District, Klamath National Fore"/>
    <hyperlink ref="E27" r:id="rId6" display="Miller West Fisher Project, Proposes Land Management Activities, including Timber Harvest, Access Management, Road Storage and Decommissioning, Prescribed Burning and Precommercial Thinning, Miller Creek, West Fisher Creek and the Silver Butte Fisher Rive"/>
    <hyperlink ref="E26" r:id="rId7" display="Camp Four Vegetation Project, Proposes Vegetation and Road Management Activities, Desired Future Condition (DFC), Medford-Park Falls Ranger District, Chequamegon-Nicolet National Forest, Price County, WI"/>
    <hyperlink ref="E21" r:id="rId8" display="Gemmill Thin Project, Proposal to Reduce the Intensity and Size of Future Wildfires, and to Maintain/Improve Ecosystem Function and Wildlife Habitat, Chanchellula Late-Successional Reserve, Shasta-Trinity National Forest, Trinity County, CA"/>
    <hyperlink ref="E92" r:id="rId9" display="Indian Creek Mine Expansion, Proposed Mine Expansion would include Quarry Areas, Mine Facilities, Ore Storage Sites, Soil Salvage Stockpiles, Haul Roads, and Overburden Disposal Areas, Issuing Operating Permit #00105 and Plan of Operation #MTM78300, Broad"/>
    <hyperlink ref="E57" r:id="rId10" display="Bald Mountain Mine North Operations Area Project, Proposes to Expand Current Mining Operations at several Existing Pits, Rock Disposal Areas, Heap Leach Pads, Processing Facilities, and Interpit Area, Combining the Bald Mountain Mine Plan of Operations Bo"/>
    <hyperlink ref="E75" r:id="rId11" display="Southeastern Lincoln County Habitat Conservation Plan, Application Package for Three Incidental Take Permits, Authorize the Take of Desert Tortoise (Gopherus agassizii) and Southwestern Willow Flycatcher (Empidonax traillii extimus), Implementation, Linco"/>
    <hyperlink ref="E19" r:id="rId12" display="Port of Los Angeles Channel Deepening Project, To Dispose of Approximately 3.0 Million Cubic Yards of Dredge Material Required to Complete the Channel Deepening Project and to Beneficially Reuse the Dredge Material with the Port of Los Angeles, Los Angele"/>
    <hyperlink ref="E37" r:id="rId13" display="Mandan, Hidatsa and Arikara Nation's Proposed Clean Fuels Refinery Project, Construction and Operation of a New 13, 000 Barrel of Production per day Clean Fuels Refinery and Grow Hay for Buffalo, NPDES Permit, Fort Berthold Indian Reservation, Ward County"/>
    <hyperlink ref="E76" r:id="rId14" display="Shasta-Trinity National Forest Motorized Travel Management Project, Proposal to Prohibit Cross-County Motor Vehicle Travel off Designated National Forest Transportation System (NFTS) Roads, Motorized Trails and Areas by the Public Except as Allowed by Per"/>
    <hyperlink ref="E79" r:id="rId15" display="Los Vaqueros Reservoir Expansion Project, To Develop Water Supplies Environmental Water Management that Supports Fish Protection, Habitat Management, and other Environmental Water Needs in the Delta and Tributary River Systems, San Francisco Bay Area, Con"/>
    <hyperlink ref="E31" r:id="rId16" display="Commencement Bay &quot;Reauthorization&quot; of Dredged Material Management Program Disposal Site, Implementation, Central Puget Sound, Tacoma, WA"/>
    <hyperlink ref="H195" r:id="rId17" display="130-131"/>
    <hyperlink ref="E195" r:id="rId18" display="Final Supplemental Environmental Impact Statement, Sequoyah Nuclear Plant Units 1 and 2 License Renewal, Hamilton County, Tennessee"/>
    <hyperlink ref="E161" r:id="rId19" display="Mountaineer Commercial Scale Carbon Capture and Storage Project, Draft Environmental Impact Statement (DOE/EIS-0445D)"/>
    <hyperlink ref="H154" r:id="rId20" display="133-182"/>
    <hyperlink ref="E154" r:id="rId21" display="Draft Supplemental Environmental Impact Statement for the Disposal and Reuse of Hunters Point Naval Shipyard, San Francisco, CA"/>
    <hyperlink ref="G161" r:id="rId22" display="155-163"/>
    <hyperlink ref="E115" r:id="rId23" display="Final Environmental Impact Statement for the Proposed Abengoa Biorefinery Project near Hugoton, Stevens County, Kansas"/>
    <hyperlink ref="F115" r:id="rId24" display="240-251"/>
    <hyperlink ref="E100" r:id="rId25" display="California Desert Conservation Area Plan Amendment / Final Environmental Impact Statement for Ivanpah Solar Electric Generating System"/>
    <hyperlink ref="F100" r:id="rId26" display="70-85"/>
    <hyperlink ref="E101" r:id="rId27" display="Final Environmental Impact Statement for the South Dakota PrairieWinds Project"/>
    <hyperlink ref="E112" r:id="rId28" display="Plan Amendment / Final Environmental Impact Statement for the Blythe Solar Power Project"/>
    <hyperlink ref="F101" r:id="rId29" display="217-219"/>
    <hyperlink ref="F112" r:id="rId30" display="353-367"/>
    <hyperlink ref="E113" r:id="rId31" display="Plan Amendment / Final Environmental Impact Statement for the Genesis Solar Power Project"/>
    <hyperlink ref="F113" r:id="rId32" display="115-121, 335-349"/>
    <hyperlink ref="E148" r:id="rId33" display="Final Site-Wide Environmental Impact Statement for the Y-12 National Security Complex"/>
    <hyperlink ref="F148" r:id="rId34" display="273-277"/>
    <hyperlink ref="E133" r:id="rId35" display="Tonopah Solar Energy LLC Crescent Dunes Solar Energy Project Final Environmental Impact Statement"/>
    <hyperlink ref="E108" r:id="rId36" display="http://energy.gov/sites/prod/files/nepapub/nepa_documents/RedDont/EIS-0422-DEIS-2010.pdf"/>
    <hyperlink ref="E184" r:id="rId37" display="Texas Clean Energy Project Final Environmental Impact Statement"/>
    <hyperlink ref="E146" r:id="rId38" display="Final Long-Term Management and Storage of Elemental Mercury Final Environmental Impact Statement"/>
    <hyperlink ref="E165" r:id="rId39" display="Desert Sunlight Solar Farm Project California Desert Conservation Area Plan Amendment and Final Environmental Impact Statement"/>
    <hyperlink ref="E171" r:id="rId40" display="Environmental Impact Statement for the Proposed American Centrifuge Plant in Piketon, Ohio"/>
    <hyperlink ref="E175" r:id="rId41" display="Environmental Impact Statement for the Proposed Areva Eagle Rock Enrichment Facility"/>
    <hyperlink ref="E3" r:id="rId42" display="Outer Continental Shelf Oil &amp; Gas Leasing Program: 2007-2012 Final Environmental Impact Statement"/>
    <hyperlink ref="E162" r:id="rId43" display="Final Environmental Impact Statement Blackfoot Bridge Mine"/>
    <hyperlink ref="E110" r:id="rId44" display="Final Environmental Impact Statement and Proposed Amendment to the California Desert Conservation Area Plan for the Calico Solar (formerly SES Solar One) Project, San Bernardino County, California"/>
    <hyperlink ref="E136" r:id="rId45" display="Draft Environmental Impact Statement for East County Substation, Tule Wind, and Energia Sierra Juarez Gen-Tie Projects"/>
    <hyperlink ref="E131" r:id="rId46" display="West Butte Wind Power Right of Way Final Environmental Impact Statement"/>
    <hyperlink ref="E129" r:id="rId47" display="GASCO ENERGY INC. Uinta Basin Natural Gas Development Project Draft Environmental Impact Statement"/>
    <hyperlink ref="E153" r:id="rId48" display="I-70 Mountain Corridor Final Programmatic Environmental Impact Statement"/>
    <hyperlink ref="E159" r:id="rId49" display="Final Environmental Impact Statement: MD 3 PROJECT PLANNING STUDY"/>
    <hyperlink ref="E109" r:id="rId50" display="Circ-Williston Transportation Project Final Environmental Impact Statement "/>
    <hyperlink ref="E182" r:id="rId51" display="http://www.wsdot.wa.gov/Projects/Viaduct/library-environmental.htm#2011feis"/>
    <hyperlink ref="E117" r:id="rId52" display="Jackson South Final Environmental Impact Statement"/>
    <hyperlink ref="E157" r:id="rId53" display="http://yukonflatseis.ensr.com/Yukon.data/Docs/FEIS/Volume_1/10_Chapter_4_FEIS_(Feb_2010).pdf"/>
    <hyperlink ref="E158" r:id="rId54" display="South Capitol Street Final Environmental Impact Statement"/>
    <hyperlink ref="E107" r:id="rId55" display="http://www.ferc.gov/industries/gas/enviro/eis/2010/07-23-10.asp"/>
    <hyperlink ref="E188" r:id="rId56" display="Final Environmental Impact Statement For the KEYSTONE XL PROJECT"/>
    <hyperlink ref="E105" r:id="rId57" display="http://www.blm.gov/pgdata/etc/medialib/blm/wy/information/NEPA/hpdo/Wright-Coal/feis.Par.67516.File.dat/07chap3.pdf"/>
    <hyperlink ref="E106" r:id="rId58" display="http://www.blm.gov/pgdata/etc/medialib/blm/ut/price_fo/oil_and_gas_2.Par.31304.File.dat/Chapter 4 WTP FEIS%5b1%5d.pdf"/>
    <hyperlink ref="E99" r:id="rId59" display="Generic Environmental Impact Statement for License Renewal of Nuclear Plants. Supplement 41- Regarding Cooper Nuclear Station"/>
    <hyperlink ref="E186" r:id="rId60" display="Gulf of Mexico OCS Oil and Gas Lease Sale: 2011 Western Planning Area Lease Sale 218 Final Supplemental Environmental Impact Statement"/>
    <hyperlink ref="E181" r:id="rId61" display="Big Eddy-Knight Transmission Project Final Environmental Impact Statement"/>
    <hyperlink ref="E180" r:id="rId62" display="T.F. Green airport improvement program Final Environmental Impact Statement"/>
    <hyperlink ref="E183" r:id="rId63" display="East Link Rail Transit Project, Proposes to Construct and Operate an Extension of the Light Rail System from downtown Seattle to Mercer Island, Bellevue, and Redmond "/>
    <hyperlink ref="E123" r:id="rId64" display="Final Environmental Impact Statement: Sunridge Properties, Rancho Cordova, California"/>
    <hyperlink ref="E94" r:id="rId65" display="http://www.spk.usace.army.mil/organizations/cespk-co/regulatory/RioDelOro/DEIR/Air_Quality.pdf"/>
    <hyperlink ref="E93" r:id="rId66" display="Folsom South of U.S. 50 Specific Plan Project"/>
    <hyperlink ref="E168" r:id="rId67" display="Final Environmental Impact Statement: Modification of the Groton Generation Station Interconnection Agreement"/>
    <hyperlink ref="E170" r:id="rId68" display="http://pbadupws.nrc.gov/docs/ML1113/ML11131A001.pdf"/>
    <hyperlink ref="E116" r:id="rId69" display="Philadelphia International Airport (PHL) Capacity Enhancement Program Final Environmental Impact Statement"/>
    <hyperlink ref="E160" r:id="rId70" display="Final Environmental Impact Statement for the Proposed DesertXpress High-Speed Passenger Train Victorville, California to Las Vegas, Nevada"/>
    <hyperlink ref="E155" r:id="rId71" display="Final Supplemental Environmental Impact Statement for Combined License (COLs) for Vogtle Electric Generating Plant Unit 3 and 4 (NUREG-1947)"/>
    <hyperlink ref="E121" r:id="rId72" display="Tehachapi Renewable Transmission Project,"/>
    <hyperlink ref="E139" r:id="rId73" display="Final Environmental Impact Statement for the ON Line Transmission Project"/>
    <hyperlink ref="F139" r:id="rId74" display="Ch.4 p 29-31, Ch. 5 p 39"/>
    <hyperlink ref="E140" r:id="rId75" display="http://www.wsdot.wa.gov/NR/rdonlyres/A59D08B8-C9CF-4ED9-BDCC-1B468D45A8A5/0/FEIS_Chapter5Part5.pdf"/>
    <hyperlink ref="F140" r:id="rId76" display="Sec 5.9 p23, Sec 6.9 p115"/>
    <hyperlink ref="E138" r:id="rId77" display="Mississippi River Gulf Outlet (MRGO) Ecosystem Restoration Study"/>
    <hyperlink ref="E141" r:id="rId78" display="http://www.usbr.gov/mp/nepa/documentShow.cfm?Doc_ID=6816"/>
    <hyperlink ref="E137" r:id="rId79" display="Gulf of Mexico Range Complex Training and Operations EIS"/>
    <hyperlink ref="E135" r:id="rId80" display="http://files.dnr.state.mn.us/input/environmentalreview/keetac/final_eis/keetac_mine_expanion_feis.pdf"/>
    <hyperlink ref="E178" r:id="rId81" display="Buckskin Mine Hay Creek II Project, Coal Lease "/>
    <hyperlink ref="E125" r:id="rId82" display="COBBLER II TIMBER SALE AND FUELS REDUCTION PROJECT"/>
    <hyperlink ref="E114" r:id="rId83" display="D-Bug Hazard Reduction Timber Sale Project"/>
    <hyperlink ref="E187" r:id="rId84" display="Jarbidge , Mountain City, and Ruby Mountains Ranger Districts Combined Travel Management Project"/>
    <hyperlink ref="E189" r:id="rId85" display="North 1–25 Corridor, To Identify and Evaluate Multi-Modal Transportation Improvement"/>
    <hyperlink ref="F189" r:id="rId86" display="Sec. 3.21, 3.26-32"/>
    <hyperlink ref="F136" r:id="rId87" display="Section D18. p14"/>
    <hyperlink ref="E193" r:id="rId88" display="Interstate 5 Columbia River Crossing Project, Bridge, Transit, and Highway Improvements, from State Route 500 in Vancouver, WA to Columbia Boulevard in Portland, OR"/>
    <hyperlink ref="E194" r:id="rId89" display="Crenshaw Transit Corridor Project, Proposes to Improve Transit Services, Funding, Los Angeles County Metropolitan Transportation Authority (LACMTA), Los Angeles"/>
    <hyperlink ref="E191" r:id="rId90" display="Amendment 10 to the Fishery Management Plan for Spiny Lobster, Establish Annual Catch Limits and Accountability Measures for Caribbean Spiny Lobster, Gulf of Mexico and South Atlantic Regions"/>
    <hyperlink ref="E192" r:id="rId91" display="Oil and Gas Leasing on Lands Administered by the Dixie National Forest"/>
    <hyperlink ref="E176" r:id="rId92" display="http://www.nhtsa.gov/staticfiles/rulemaking/pdf/cafe/FEIS-MedHD.pdf"/>
    <hyperlink ref="E169" r:id="rId93" display="Calvert Cliffs Nuclear Power Plant Unit 3, Application for Combined License for Construct and Operate a New Nuclear Unit"/>
    <hyperlink ref="E172" r:id="rId94" display="Plan Amendment/ FEIS for the Palen Solar Power Project"/>
    <hyperlink ref="E166" r:id="rId95" display="Port MacKenzie Rail Line Extension Construction and Operation"/>
    <hyperlink ref="E150" r:id="rId96" display="Palm Beach International Airport Project, Construction and Operation of Proposed Airfield Improvements"/>
    <hyperlink ref="E145" r:id="rId97" display="http://www.nrc.gov/reading-rm/doc-collections/nuregs/staff/sr1910/s2/sr1910s2.pdf"/>
    <hyperlink ref="E142" r:id="rId98" display="http://pbadupws.nrc.gov/docs/ML1035/ML103560149.pdf"/>
    <hyperlink ref="E144" r:id="rId99" display="Cortez Hills Expansion Project FEIS"/>
    <hyperlink ref="E124" r:id="rId100" display="http://a123.g.akamai.net/7/123/11558/abc123/forestservic.download.akamai.com/11558/www/nepa/52579_FSPLT2_024654.pdf"/>
    <hyperlink ref="E132" r:id="rId101" display="South Corridor Portland-Milwaukie Light Rail Project, Connecting Downtown Portland, OR and WA"/>
    <hyperlink ref="E126" r:id="rId102" display="Fernow Experimental Forest Project,  Research Studies Involving Removal of Trees, Prescribed Burning, Fertilization, and Use of Herbicides "/>
    <hyperlink ref="E127" r:id="rId103" display="Moore Ranch In-Situ Uranium Recovery (ISR) Project"/>
    <hyperlink ref="E104" r:id="rId104" display="Guam and Commonwealth of the Northern Mariana Islands (CNMI) Military Relocation, Proposed Relocating Marines from Okinawa, Visiting Aircraft Carrier Berthing, and Army Air and Missile Defense Task Force"/>
    <hyperlink ref="E197" r:id="rId105" display="Sonoran Solar Energy Project"/>
    <hyperlink ref="E185" r:id="rId106" display="Generic - License Renewal of Nuclear Plants Regarding Seabrook Station, Supplemental 46"/>
    <hyperlink ref="E179" r:id="rId107" display="Natural Resource Plan, To Determine How TVA Will Manage Its Natural Resource Over the Next 20 Years"/>
    <hyperlink ref="E163" r:id="rId108" display="Virgil C. Summer Nuclear Station Units 2 and 3, Application for Combined License to Construct and Operate a New Nuclear Reactors, Fairfield County, SC"/>
    <hyperlink ref="E174" r:id="rId109" display="Hays County Regional Habitat Conservation Plan"/>
    <hyperlink ref="E173" r:id="rId110" display="Nellis Air Force Base (AFB), Proposes to Base 36 F-35 Fighter Aircraft"/>
    <hyperlink ref="E152" r:id="rId111" display="Yerba Buena Island Ramps Improvement Project on Interstate 80 "/>
    <hyperlink ref="E149" r:id="rId112" display="Northern Arizona Proposed Withdrawal Project, Proposed 20-Year Withdrawal of Approximately 1 Million Acres of Federal Mineral Estate, Coconino and Mohave Counties, AZ"/>
    <hyperlink ref="E143" r:id="rId113" display="Silver Strand Training Complex (SSTC) Project, Proposed Naval Training Activities, Cities of Coronado and Imperial Beach, San Diego County, CA"/>
    <hyperlink ref="E122" r:id="rId114" display="Yesler Terrace Redevelopment Project, Proposed Redevelopment of Yesler Terrace to Create a Mixed Income, Mixed-Use-Residential Community on a 28 Acre Site"/>
    <hyperlink ref="E134" r:id="rId115" display="PROGRAMMATIC - Growth, Realignment, and Stationing of Army Aviation Assets, Evaluates Environmental Impacts of Stationing Army Combat Aviation Brigade at Fort Carson, CO and Joint Base Lewis-McChord, WA"/>
    <hyperlink ref="E130" r:id="rId116" display="Jackson Hole Airport Use Agreement Extension Project, To Enable Continued Air Transportation Services, Grand Teton National Park, Teton County, WY"/>
    <hyperlink ref="E120" r:id="rId117" display="Big Moose Vegetation Management Project, Implementation, Divide Ranger District, Rio National Forest, Hinsdale and Mineral Counties, CO"/>
    <hyperlink ref="E119" r:id="rId118" display="Silver State Solar Energy Project, Construction and Operation of a 400-megawatt Photovoltaic Solar Plant and Associated Facilities on Public Lands, Application, Right-of-Way Grant, Primm and Clark Counties, NV"/>
    <hyperlink ref="E177" r:id="rId119" display="Madera Irrigation District Water Supply Enhancement Project, Constructing and Operating a Water Bank on the Madera Property, Madera County, CA"/>
    <hyperlink ref="E151" r:id="rId120" display="Missouri River Commercial Dredging, Proposal to Extract Sand and Gravel from the Missouri River, US Corp of Engineer's Section 10 and 404 Permits, Kansas City, Central Missouri and Greater St. Louis, Missouri"/>
    <hyperlink ref="E147" r:id="rId121" display="North Metro Corridor Project, Proposed a Commuter Rail Transit from downtown Denver, Colorado, north to State Highway (SH) 7, in the Cities of Denver, Commerce City, Thornton, Northglenn, and Adams County, CO"/>
    <hyperlink ref="E128" r:id="rId122" display="Wallops Flight Facility, Shoreline Restoration and Infrastructure Protection Program, Implementation, Wallops Island, VA"/>
    <hyperlink ref="E167" r:id="rId123" display="San Joaquin River Restoration Program, A Comprehensive Long-Term Effort to Restore Flows to the San Joaquin River from Friant Dam to the Confluence of Merced River "/>
    <hyperlink ref="E164" r:id="rId124" display="First Solar Desert Sunlight Solar Farm (DSSF) Project, Proposing To Develop a 550-Megawatt Photovoltaic Solar Project, Also Proposes to Facilitate the Construction and Operation of the Red Bluff Substation, California Desert Conservation Area"/>
    <hyperlink ref="F164" r:id="rId125" display="Ch. 4 Sec 5 "/>
    <hyperlink ref="E156" r:id="rId126" display="Gulf of Alaska Navy Training Activities, Proposal to Support and Conduct Current, Emerging, and Future Training Activities, Implementation, Gulf of Alaska, AK"/>
    <hyperlink ref="F156" r:id="rId127" display="Sec 3.1 p3, Sec 4.2 p14"/>
    <hyperlink ref="E111" r:id="rId128" display="Chevron Energy Solutions Lucerne Valley Solar Project, Proposing To Develop a 45-megawatt (MW) Solar Photovotaic (PV) Plant and Associated Facilities on 516 Acres of Federal Land Managed, California Desert Conservation Area Plan Amendment"/>
    <hyperlink ref="F111" r:id="rId129" display="4.1-2"/>
    <hyperlink ref="E199" r:id="rId130" display="Nationwide Aerial Application of Fire Retardant Project, Proposing to Continue the Aerial Application of Fire on National Forest System Lands, Implementation"/>
    <hyperlink ref="G198" r:id="rId131" display="Ch. 6 p86, p97, "/>
    <hyperlink ref="E198" r:id="rId132" display="Solar Energy Development Draft Programmatic Environmental Impact Statement"/>
    <hyperlink ref="E103" r:id="rId133" display="http://www.blm.gov/or/plans/vegtreatmentseis/"/>
    <hyperlink ref="E56" r:id="rId134" display="Federal Reserve Bank of San Francisco, Propose to sell the Property at 1015 Second Avenue that is Eligible for Listing on the National Register of Historic Places, located in Seattle, WA"/>
    <hyperlink ref="E44" r:id="rId135" display="Programmatic: Streamlining the Processing of Experimental Permit Applications, Issuing Experimental Permits for the Launch and Reentry of Useable Suborbital Rockets"/>
    <hyperlink ref="E54" r:id="rId136" display="Programmatic: Toward an Ecosystem Approach for the Western Pacific Region: From Species-Based Fishery Management Plans to Place-Based Fishery Ecosystem Plans, American Samoa, Commonwealth of the Northern Mariana Islands, Hawaii, U.S. Pacific Remote Island"/>
    <hyperlink ref="E190" r:id="rId137" display="Revision of Coronado National Forest Land and Resource Management Plan"/>
    <hyperlink ref="E226" r:id="rId138" display="Basing of MV–22 and H–1 Aircraft in Support of III Marine Expeditionary Force (MEF) Elements, Construction and Renovation of Facilities to Accommodate and Maintain the Squadrons"/>
    <hyperlink ref="E201" r:id="rId139" display="Quartzsite Solar Energy Project and Proposed Yuma Field Office Resource Management Plan Amendment"/>
    <hyperlink ref="E200" r:id="rId140" display="Related to the Operation of Watts Bar Nuclear Plant Units 2"/>
    <hyperlink ref="E228" r:id="rId141" display="Programmatic EIS—Outer Continental Shelf Oil and Gas Leasing Program—2012–2017 in Six Planning Area, Western, Central and Eastern Gulf of Mexico, Cook Inlet, the Beaufort Sea, and the Chukchi Sea"/>
    <hyperlink ref="E202" r:id="rId142" display="Marks Creek Allotment Management Plans, Proposes to Reauthorize Cattle Term Grazing Permits, Construct Range Improvements, and Restore Riparian Vegetation on three Allotments"/>
    <hyperlink ref="E204" r:id="rId143" display="Point Thomson Project, Authorization to Construct Industrial Infrastructure and Produce Liquid Hydrocarbon Resources"/>
    <hyperlink ref="E203" r:id="rId144" display="Muscle Shoals Reservation Redevelopment"/>
    <hyperlink ref="E224" r:id="rId145" display="Yakima River Basin Integrated Water Resource Management Plan"/>
    <hyperlink ref="E210" r:id="rId146" display="Comprehensive Annual Catch Limit (ACL) Amendment for the South Atlantic Regions"/>
    <hyperlink ref="E207" r:id="rId147" display="Beaver Creek Mountain Improvement Project, Improvement to Birds of Prey Racecourse, Widening and Grading the Addition of Women’s Downhill and Giant Slalom Racecourses, New and Replaced Snowmaking Infrastructure"/>
    <hyperlink ref="E208" r:id="rId148" display="Corporate Average Fuel Economy (CAFE) Standards Passenger Car and Light Trucks Model Years 2017–2025"/>
    <hyperlink ref="F209" r:id="rId149" display="Ch. 3 p.35"/>
    <hyperlink ref="E209" r:id="rId150" display="R.J. Corman Railroad/Pennsylvania Lines Project, Construction, Operation, and Reactivation to Approximately 20 Miles of Railline in Clearfield and Centre Counties"/>
    <hyperlink ref="E205" r:id="rId151" display="K Road Moapa Solar Generation Facility, Moapa Band of Paiutes (Tribe), to lease Land up to 50 Years on the Moapa River Indian Reservation for Constructing and Operating a 350MV PV Solar Generating Station and Associated Infrastructure"/>
    <hyperlink ref="E206" r:id="rId152" display="Baker Field Office Resource Management Plan, Implementation, Baker, Union, Wallowa, Malheur, Morrow and Umatilla Counties"/>
    <hyperlink ref="E211" r:id="rId153" display="Marine Corps Base Camp Pendleton Project, Basewide Water Infrastructure and Stuart Mesa Bridge Replacement, Implementation, San Diego County"/>
    <hyperlink ref="H211" r:id="rId154" display="Appendix D"/>
    <hyperlink ref="E213" r:id="rId155" display="Taos Resource Management Plan, To Provide Broad-Scale Guidance for the Management of Public Lands and Resource Administered by Taos Field Office"/>
    <hyperlink ref="E212" r:id="rId156" display="Gnoss Field Airport Project, Proposed Extension to Runway 13/31/"/>
    <hyperlink ref="E216" r:id="rId157" display="Lake Tahoe Basin Management Unit South Shore Fuel Reduction and Healthy Forest Restoration"/>
    <hyperlink ref="E214" r:id="rId158" display="Windy Gap Firming Project, Construct a New Water Storage Reservoir to Deliver Water to Front Range and West Slope Communities and Industries"/>
    <hyperlink ref="E223" r:id="rId159" display="Amendment 18A to the Fishery Management Plan for the Snapper-Grouper Fishery of the South Atlantic Region, To Limit Participation and Effort in the Black Sea Bass Pot Fishery"/>
    <hyperlink ref="E215" r:id="rId160" display="Biomass Power Plant Project, Application for Financial Assistance To Construction 100 Megawatt (MW) Biomass Plant and Related Facilities"/>
    <hyperlink ref="E225" r:id="rId161" display="Rubicon Trail Easement and Resource Improvement Project, Construction and Operation, Right-of-Way Grant, Eldorado National Forest"/>
    <hyperlink ref="E217" r:id="rId162" display="Ross Lake National Recreation Area Project, General Management Plan"/>
    <hyperlink ref="E219" r:id="rId163" display="William States Lee III Nuclear Station Units 1 and 2 Combined Licenses (COLs) Application, Constructing and Operating Two New Nuclear Units at the Lee Nuclear Station Site"/>
    <hyperlink ref="E218" r:id="rId164" display="Illinois Coastal Management Program, To Preserve, Protect, Restore, and Where Possible, Enhance Coastal Resources in Illinois"/>
    <hyperlink ref="E221" r:id="rId165" display="North Hillside Road Extension on the University of Connecticut Storrs Campus, Hunting Lodge Road"/>
    <hyperlink ref="E220" r:id="rId166" display="Greens Hollow Coal Lease Tract Project, Proposed Federal Coal Leasing and Subsequent Underground Coal Mining, Funding and Lease Application"/>
    <hyperlink ref="H227" r:id="rId167" display="Appendix E"/>
    <hyperlink ref="E227" r:id="rId168" display="Berths 302–306 American Presidents Line (APL) Container Terminal Project, Construction and Operation, US Army COE Section 10 and Section 103 of the Marine Protection Research and Sanctuaries Act"/>
    <hyperlink ref="E229" r:id="rId169" display="Gulf of Mexico Outer Continental Shelf (OCS) Oil and Gas Lease Sales: 2012–2017 Western Planning Area Lease Sales"/>
    <hyperlink ref="E222" r:id="rId170" display="Deerfield Wind Project, Updated Information, Application for a Land Use Authorization to Construct and Operate a Wind Energy Facility, Special Use Authorization Permit, Green Mountain National Forest"/>
    <hyperlink ref="F226" r:id="rId171" display="Sec. 5 p. 18"/>
    <hyperlink ref="G227" r:id="rId172" display="Sec 3-2 p12, p150 and See Appendix"/>
  </hyperlinks>
  <printOptions/>
  <pageMargins left="0.45" right="0.45" top="0.75" bottom="0.75" header="0.3" footer="0.3"/>
  <pageSetup horizontalDpi="600" verticalDpi="600" orientation="landscape"/>
  <headerFooter alignWithMargins="0">
    <oddHeader>&amp;CEnvironmental Impact Statements Submitted Under the National Environmental Policy Act (NEPA) that Discuss Climate Change-Related Impacts
Dates Covered: 1/1/2009 - 6/25/2010</oddHeader>
    <oddFooter>&amp;LPage &amp;P of &amp;N&amp;CCenter for Climate Change Law
Columbia Law School&amp;Rwww.columbiaclimatelaw.com</oddFooter>
  </headerFooter>
</worksheet>
</file>

<file path=xl/worksheets/sheet2.xml><?xml version="1.0" encoding="utf-8"?>
<worksheet xmlns="http://schemas.openxmlformats.org/spreadsheetml/2006/main" xmlns:r="http://schemas.openxmlformats.org/officeDocument/2006/relationships">
  <dimension ref="A1:C42"/>
  <sheetViews>
    <sheetView workbookViewId="0" topLeftCell="A1">
      <selection activeCell="A2" sqref="A2:A40"/>
    </sheetView>
  </sheetViews>
  <sheetFormatPr defaultColWidth="8.8515625" defaultRowHeight="15"/>
  <cols>
    <col min="1" max="1" width="13.7109375" style="0" bestFit="1" customWidth="1"/>
    <col min="2" max="2" width="43.28125" style="0" bestFit="1" customWidth="1"/>
  </cols>
  <sheetData>
    <row r="1" spans="1:2" s="12" customFormat="1" ht="33" customHeight="1">
      <c r="A1" s="9" t="s">
        <v>144</v>
      </c>
      <c r="B1" s="9" t="s">
        <v>165</v>
      </c>
    </row>
    <row r="2" spans="1:2" ht="13.5">
      <c r="A2" s="3" t="s">
        <v>232</v>
      </c>
      <c r="B2" s="6" t="s">
        <v>166</v>
      </c>
    </row>
    <row r="3" spans="1:2" ht="13.5">
      <c r="A3" s="4" t="s">
        <v>191</v>
      </c>
      <c r="B3" s="7" t="s">
        <v>167</v>
      </c>
    </row>
    <row r="4" spans="1:2" ht="13.5">
      <c r="A4" s="4" t="s">
        <v>229</v>
      </c>
      <c r="B4" s="7" t="s">
        <v>168</v>
      </c>
    </row>
    <row r="5" spans="1:2" ht="13.5">
      <c r="A5" s="4" t="s">
        <v>246</v>
      </c>
      <c r="B5" s="7" t="s">
        <v>169</v>
      </c>
    </row>
    <row r="6" spans="1:3" ht="13.5">
      <c r="A6" s="4" t="s">
        <v>193</v>
      </c>
      <c r="B6" s="7" t="s">
        <v>90</v>
      </c>
      <c r="C6" s="2"/>
    </row>
    <row r="7" spans="1:2" ht="13.5">
      <c r="A7" s="4" t="s">
        <v>179</v>
      </c>
      <c r="B7" s="7" t="s">
        <v>170</v>
      </c>
    </row>
    <row r="8" spans="1:2" ht="13.5">
      <c r="A8" s="4" t="s">
        <v>153</v>
      </c>
      <c r="B8" s="7" t="s">
        <v>171</v>
      </c>
    </row>
    <row r="9" spans="1:2" ht="13.5">
      <c r="A9" s="4" t="s">
        <v>195</v>
      </c>
      <c r="B9" s="7" t="s">
        <v>172</v>
      </c>
    </row>
    <row r="10" spans="1:2" ht="13.5">
      <c r="A10" s="4" t="s">
        <v>231</v>
      </c>
      <c r="B10" s="7" t="s">
        <v>173</v>
      </c>
    </row>
    <row r="11" spans="1:2" ht="13.5">
      <c r="A11" s="4" t="s">
        <v>219</v>
      </c>
      <c r="B11" s="7" t="s">
        <v>118</v>
      </c>
    </row>
    <row r="12" spans="1:2" ht="13.5">
      <c r="A12" s="4" t="s">
        <v>200</v>
      </c>
      <c r="B12" s="7" t="s">
        <v>119</v>
      </c>
    </row>
    <row r="13" spans="1:2" ht="13.5">
      <c r="A13" s="4" t="s">
        <v>187</v>
      </c>
      <c r="B13" s="7" t="s">
        <v>120</v>
      </c>
    </row>
    <row r="14" spans="1:2" ht="13.5">
      <c r="A14" s="4" t="s">
        <v>216</v>
      </c>
      <c r="B14" s="7" t="s">
        <v>121</v>
      </c>
    </row>
    <row r="15" spans="1:2" ht="13.5">
      <c r="A15" s="4" t="s">
        <v>236</v>
      </c>
      <c r="B15" s="7" t="s">
        <v>237</v>
      </c>
    </row>
    <row r="16" spans="1:2" ht="13.5">
      <c r="A16" s="4" t="s">
        <v>215</v>
      </c>
      <c r="B16" s="7" t="s">
        <v>122</v>
      </c>
    </row>
    <row r="17" spans="1:2" ht="13.5">
      <c r="A17" s="4" t="s">
        <v>205</v>
      </c>
      <c r="B17" s="7" t="s">
        <v>123</v>
      </c>
    </row>
    <row r="18" spans="1:2" ht="13.5">
      <c r="A18" s="4" t="s">
        <v>147</v>
      </c>
      <c r="B18" s="7" t="s">
        <v>124</v>
      </c>
    </row>
    <row r="19" spans="1:2" ht="13.5">
      <c r="A19" s="4" t="s">
        <v>241</v>
      </c>
      <c r="B19" s="7" t="s">
        <v>125</v>
      </c>
    </row>
    <row r="20" spans="1:2" ht="13.5">
      <c r="A20" s="4" t="s">
        <v>159</v>
      </c>
      <c r="B20" s="7" t="s">
        <v>126</v>
      </c>
    </row>
    <row r="21" spans="1:2" ht="13.5">
      <c r="A21" s="4" t="s">
        <v>198</v>
      </c>
      <c r="B21" s="7" t="s">
        <v>127</v>
      </c>
    </row>
    <row r="22" spans="1:2" ht="13.5">
      <c r="A22" s="4" t="s">
        <v>91</v>
      </c>
      <c r="B22" s="7" t="s">
        <v>92</v>
      </c>
    </row>
    <row r="23" spans="1:2" ht="13.5">
      <c r="A23" s="4" t="s">
        <v>226</v>
      </c>
      <c r="B23" s="7" t="s">
        <v>128</v>
      </c>
    </row>
    <row r="24" spans="1:2" ht="13.5">
      <c r="A24" s="4" t="s">
        <v>235</v>
      </c>
      <c r="B24" s="7" t="s">
        <v>129</v>
      </c>
    </row>
    <row r="25" spans="1:2" ht="13.5">
      <c r="A25" s="4" t="s">
        <v>225</v>
      </c>
      <c r="B25" s="7" t="s">
        <v>130</v>
      </c>
    </row>
    <row r="26" spans="1:2" ht="13.5">
      <c r="A26" s="4" t="s">
        <v>240</v>
      </c>
      <c r="B26" s="7" t="s">
        <v>131</v>
      </c>
    </row>
    <row r="27" spans="1:2" ht="13.5">
      <c r="A27" s="4" t="s">
        <v>220</v>
      </c>
      <c r="B27" s="7" t="s">
        <v>132</v>
      </c>
    </row>
    <row r="28" spans="1:2" ht="13.5">
      <c r="A28" s="4" t="s">
        <v>158</v>
      </c>
      <c r="B28" s="7" t="s">
        <v>133</v>
      </c>
    </row>
    <row r="29" spans="1:2" ht="13.5">
      <c r="A29" s="4" t="s">
        <v>149</v>
      </c>
      <c r="B29" s="7" t="s">
        <v>134</v>
      </c>
    </row>
    <row r="30" spans="1:2" ht="13.5">
      <c r="A30" s="4" t="s">
        <v>204</v>
      </c>
      <c r="B30" s="7" t="s">
        <v>135</v>
      </c>
    </row>
    <row r="31" spans="1:2" ht="13.5">
      <c r="A31" s="4" t="s">
        <v>228</v>
      </c>
      <c r="B31" s="7" t="s">
        <v>136</v>
      </c>
    </row>
    <row r="32" spans="1:2" ht="13.5">
      <c r="A32" s="4" t="s">
        <v>201</v>
      </c>
      <c r="B32" s="7" t="s">
        <v>137</v>
      </c>
    </row>
    <row r="33" spans="1:2" ht="13.5">
      <c r="A33" s="4" t="s">
        <v>188</v>
      </c>
      <c r="B33" s="7" t="s">
        <v>82</v>
      </c>
    </row>
    <row r="34" spans="1:2" ht="13.5">
      <c r="A34" s="4" t="s">
        <v>199</v>
      </c>
      <c r="B34" s="7" t="s">
        <v>83</v>
      </c>
    </row>
    <row r="35" spans="1:2" ht="13.5">
      <c r="A35" s="4" t="s">
        <v>157</v>
      </c>
      <c r="B35" s="7" t="s">
        <v>84</v>
      </c>
    </row>
    <row r="36" spans="1:2" ht="13.5">
      <c r="A36" s="4" t="s">
        <v>230</v>
      </c>
      <c r="B36" s="7" t="s">
        <v>85</v>
      </c>
    </row>
    <row r="37" spans="1:2" ht="13.5">
      <c r="A37" s="4" t="s">
        <v>177</v>
      </c>
      <c r="B37" s="7" t="s">
        <v>86</v>
      </c>
    </row>
    <row r="38" spans="1:2" ht="13.5">
      <c r="A38" s="4" t="s">
        <v>196</v>
      </c>
      <c r="B38" s="7" t="s">
        <v>87</v>
      </c>
    </row>
    <row r="39" spans="1:2" ht="13.5">
      <c r="A39" s="4" t="s">
        <v>245</v>
      </c>
      <c r="B39" s="7" t="s">
        <v>88</v>
      </c>
    </row>
    <row r="40" spans="1:2" ht="13.5">
      <c r="A40" s="5" t="s">
        <v>160</v>
      </c>
      <c r="B40" s="8" t="s">
        <v>89</v>
      </c>
    </row>
    <row r="42" ht="13.5">
      <c r="A42" s="1"/>
    </row>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B9"/>
  <sheetViews>
    <sheetView workbookViewId="0" topLeftCell="A1">
      <selection activeCell="B12" sqref="B12"/>
    </sheetView>
  </sheetViews>
  <sheetFormatPr defaultColWidth="8.8515625" defaultRowHeight="15"/>
  <cols>
    <col min="1" max="1" width="11.00390625" style="0" customWidth="1"/>
    <col min="2" max="2" width="112.8515625" style="0" customWidth="1"/>
  </cols>
  <sheetData>
    <row r="1" spans="1:2" ht="36" customHeight="1" thickBot="1">
      <c r="A1" s="50" t="s">
        <v>93</v>
      </c>
      <c r="B1" s="50" t="s">
        <v>97</v>
      </c>
    </row>
    <row r="2" spans="1:2" ht="36">
      <c r="A2" s="11">
        <v>1</v>
      </c>
      <c r="B2" s="49" t="s">
        <v>143</v>
      </c>
    </row>
    <row r="3" spans="1:2" ht="30" customHeight="1">
      <c r="A3" s="47">
        <v>2</v>
      </c>
      <c r="B3" s="48" t="s">
        <v>142</v>
      </c>
    </row>
    <row r="4" spans="1:2" ht="30" customHeight="1">
      <c r="A4" s="47">
        <v>3</v>
      </c>
      <c r="B4" s="46" t="s">
        <v>141</v>
      </c>
    </row>
    <row r="5" spans="1:2" ht="30" customHeight="1">
      <c r="A5" s="47">
        <v>4</v>
      </c>
      <c r="B5" s="46" t="s">
        <v>140</v>
      </c>
    </row>
    <row r="6" spans="1:2" ht="30" customHeight="1">
      <c r="A6" s="47">
        <v>5</v>
      </c>
      <c r="B6" s="46" t="s">
        <v>139</v>
      </c>
    </row>
    <row r="7" spans="1:2" ht="39" customHeight="1">
      <c r="A7" s="47">
        <v>6</v>
      </c>
      <c r="B7" s="46" t="s">
        <v>576</v>
      </c>
    </row>
    <row r="9" ht="13.5">
      <c r="B9" s="10" t="s">
        <v>138</v>
      </c>
    </row>
  </sheetData>
  <sheetProtection/>
  <printOptions/>
  <pageMargins left="0.45" right="0.45"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Brenden James Cline</dc:creator>
  <cp:keywords/>
  <dc:description/>
  <cp:lastModifiedBy>Monica Molina</cp:lastModifiedBy>
  <cp:lastPrinted>2010-08-18T20:01:10Z</cp:lastPrinted>
  <dcterms:created xsi:type="dcterms:W3CDTF">2010-06-04T02:10:57Z</dcterms:created>
  <dcterms:modified xsi:type="dcterms:W3CDTF">2012-07-09T14:48:12Z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